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01 - Empresas Terceirizadas\RCS TECNOLOGIA\2018.074\"/>
    </mc:Choice>
  </mc:AlternateContent>
  <bookViews>
    <workbookView xWindow="0" yWindow="0" windowWidth="23040" windowHeight="9972"/>
  </bookViews>
  <sheets>
    <sheet name="PLANILHA CD" sheetId="3" r:id="rId1"/>
    <sheet name="SALÁRIOS" sheetId="2" state="hidden" r:id="rId2"/>
    <sheet name="COMP (2)" sheetId="9" state="hidden" r:id="rId3"/>
  </sheets>
  <definedNames>
    <definedName name="_xlnm._FilterDatabase" localSheetId="2" hidden="1">'COMP (2)'!$A$1:$H$164</definedName>
    <definedName name="_xlnm._FilterDatabase" localSheetId="0" hidden="1">'PLANILHA CD'!$A$8:$I$144</definedName>
    <definedName name="_xlnm.Print_Titles" localSheetId="0">'PLANILHA CD'!$1:$8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s="1"/>
  <c r="C9" i="2" l="1"/>
  <c r="D9" i="2" s="1"/>
  <c r="I162" i="9"/>
  <c r="I159" i="9"/>
  <c r="I155" i="9"/>
  <c r="I151" i="9"/>
  <c r="I147" i="9"/>
  <c r="I142" i="9"/>
  <c r="I135" i="9"/>
  <c r="I129" i="9"/>
  <c r="I125" i="9"/>
  <c r="I128" i="9" s="1"/>
  <c r="I121" i="9"/>
  <c r="I116" i="9"/>
  <c r="I111" i="9"/>
  <c r="I106" i="9"/>
  <c r="I101" i="9"/>
  <c r="I96" i="9"/>
  <c r="I92" i="9"/>
  <c r="I95" i="9" s="1"/>
  <c r="I79" i="9"/>
  <c r="I90" i="9" s="1"/>
  <c r="I74" i="9"/>
  <c r="I77" i="9" s="1"/>
  <c r="I66" i="9"/>
  <c r="I58" i="9"/>
  <c r="I54" i="9"/>
  <c r="I57" i="9" s="1"/>
  <c r="I48" i="9"/>
  <c r="I44" i="9"/>
  <c r="I36" i="9"/>
  <c r="I30" i="9"/>
  <c r="I34" i="9" s="1"/>
  <c r="I24" i="9"/>
  <c r="I17" i="9"/>
  <c r="I8" i="9"/>
  <c r="I14" i="9" s="1"/>
  <c r="I2" i="9"/>
  <c r="I6" i="9" s="1"/>
  <c r="F164" i="9"/>
  <c r="H164" i="9" s="1"/>
  <c r="F163" i="9"/>
  <c r="H163" i="9" s="1"/>
  <c r="A163" i="9"/>
  <c r="A164" i="9" s="1"/>
  <c r="F161" i="9"/>
  <c r="H161" i="9" s="1"/>
  <c r="F160" i="9"/>
  <c r="H160" i="9" s="1"/>
  <c r="F158" i="9"/>
  <c r="H158" i="9" s="1"/>
  <c r="F157" i="9"/>
  <c r="H157" i="9" s="1"/>
  <c r="H156" i="9"/>
  <c r="A156" i="9"/>
  <c r="F154" i="9"/>
  <c r="H154" i="9" s="1"/>
  <c r="F153" i="9"/>
  <c r="H153" i="9" s="1"/>
  <c r="H152" i="9"/>
  <c r="F150" i="9"/>
  <c r="H150" i="9" s="1"/>
  <c r="F149" i="9"/>
  <c r="H149" i="9" s="1"/>
  <c r="H148" i="9"/>
  <c r="F146" i="9"/>
  <c r="H146" i="9" s="1"/>
  <c r="F145" i="9"/>
  <c r="H145" i="9" s="1"/>
  <c r="G144" i="9"/>
  <c r="H144" i="9" s="1"/>
  <c r="G143" i="9"/>
  <c r="H143" i="9" s="1"/>
  <c r="H141" i="9"/>
  <c r="H140" i="9"/>
  <c r="H139" i="9"/>
  <c r="G138" i="9"/>
  <c r="H138" i="9" s="1"/>
  <c r="F137" i="9"/>
  <c r="H137" i="9" s="1"/>
  <c r="F136" i="9"/>
  <c r="H136" i="9" s="1"/>
  <c r="F134" i="9"/>
  <c r="H134" i="9" s="1"/>
  <c r="F133" i="9"/>
  <c r="H133" i="9" s="1"/>
  <c r="H132" i="9"/>
  <c r="G131" i="9"/>
  <c r="H131" i="9" s="1"/>
  <c r="H130" i="9"/>
  <c r="F128" i="9"/>
  <c r="H128" i="9" s="1"/>
  <c r="F127" i="9"/>
  <c r="H127" i="9" s="1"/>
  <c r="H126" i="9"/>
  <c r="A126" i="9"/>
  <c r="A127" i="9" s="1"/>
  <c r="A128" i="9" s="1"/>
  <c r="F124" i="9"/>
  <c r="H124" i="9" s="1"/>
  <c r="F123" i="9"/>
  <c r="H123" i="9" s="1"/>
  <c r="H122" i="9"/>
  <c r="A122" i="9"/>
  <c r="A123" i="9" s="1"/>
  <c r="A124" i="9" s="1"/>
  <c r="F120" i="9"/>
  <c r="H120" i="9" s="1"/>
  <c r="F119" i="9"/>
  <c r="H119" i="9" s="1"/>
  <c r="H118" i="9"/>
  <c r="H117" i="9"/>
  <c r="A117" i="9"/>
  <c r="A118" i="9" s="1"/>
  <c r="A119" i="9" s="1"/>
  <c r="A120" i="9" s="1"/>
  <c r="F115" i="9"/>
  <c r="H115" i="9" s="1"/>
  <c r="F114" i="9"/>
  <c r="H114" i="9" s="1"/>
  <c r="H113" i="9"/>
  <c r="H112" i="9"/>
  <c r="A112" i="9"/>
  <c r="A113" i="9" s="1"/>
  <c r="A114" i="9" s="1"/>
  <c r="A115" i="9" s="1"/>
  <c r="F110" i="9"/>
  <c r="H110" i="9" s="1"/>
  <c r="F109" i="9"/>
  <c r="H109" i="9" s="1"/>
  <c r="H108" i="9"/>
  <c r="H107" i="9"/>
  <c r="A107" i="9"/>
  <c r="A108" i="9" s="1"/>
  <c r="A109" i="9" s="1"/>
  <c r="A110" i="9" s="1"/>
  <c r="F105" i="9"/>
  <c r="H105" i="9" s="1"/>
  <c r="F104" i="9"/>
  <c r="H104" i="9" s="1"/>
  <c r="H103" i="9"/>
  <c r="H102" i="9"/>
  <c r="F100" i="9"/>
  <c r="H100" i="9" s="1"/>
  <c r="F99" i="9"/>
  <c r="H99" i="9" s="1"/>
  <c r="H98" i="9"/>
  <c r="H97" i="9"/>
  <c r="H95" i="9"/>
  <c r="H94" i="9"/>
  <c r="H93" i="9"/>
  <c r="F91" i="9"/>
  <c r="H91" i="9" s="1"/>
  <c r="F90" i="9"/>
  <c r="H90" i="9" s="1"/>
  <c r="H89" i="9"/>
  <c r="H88" i="9"/>
  <c r="F87" i="9"/>
  <c r="H87" i="9" s="1"/>
  <c r="F86" i="9"/>
  <c r="H86" i="9" s="1"/>
  <c r="H85" i="9"/>
  <c r="H84" i="9"/>
  <c r="F83" i="9"/>
  <c r="H83" i="9" s="1"/>
  <c r="F82" i="9"/>
  <c r="H82" i="9" s="1"/>
  <c r="H81" i="9"/>
  <c r="H80" i="9"/>
  <c r="A80" i="9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H78" i="9"/>
  <c r="H77" i="9"/>
  <c r="H76" i="9"/>
  <c r="G75" i="9"/>
  <c r="H75" i="9" s="1"/>
  <c r="A75" i="9"/>
  <c r="A76" i="9" s="1"/>
  <c r="A77" i="9" s="1"/>
  <c r="A78" i="9" s="1"/>
  <c r="F73" i="9"/>
  <c r="H73" i="9" s="1"/>
  <c r="F72" i="9"/>
  <c r="H72" i="9" s="1"/>
  <c r="H71" i="9"/>
  <c r="H70" i="9"/>
  <c r="H69" i="9"/>
  <c r="H68" i="9"/>
  <c r="H67" i="9"/>
  <c r="A67" i="9"/>
  <c r="A68" i="9" s="1"/>
  <c r="A69" i="9" s="1"/>
  <c r="A70" i="9" s="1"/>
  <c r="A71" i="9" s="1"/>
  <c r="A72" i="9" s="1"/>
  <c r="A73" i="9" s="1"/>
  <c r="F65" i="9"/>
  <c r="H65" i="9" s="1"/>
  <c r="F64" i="9"/>
  <c r="H64" i="9" s="1"/>
  <c r="H63" i="9"/>
  <c r="H62" i="9"/>
  <c r="H61" i="9"/>
  <c r="H60" i="9"/>
  <c r="H59" i="9"/>
  <c r="F57" i="9"/>
  <c r="H57" i="9" s="1"/>
  <c r="H56" i="9"/>
  <c r="H55" i="9"/>
  <c r="A55" i="9"/>
  <c r="A56" i="9" s="1"/>
  <c r="A57" i="9" s="1"/>
  <c r="F53" i="9"/>
  <c r="H53" i="9" s="1"/>
  <c r="F52" i="9"/>
  <c r="H52" i="9" s="1"/>
  <c r="H51" i="9"/>
  <c r="H50" i="9"/>
  <c r="G49" i="9"/>
  <c r="H49" i="9" s="1"/>
  <c r="G47" i="9"/>
  <c r="H47" i="9" s="1"/>
  <c r="F46" i="9"/>
  <c r="H46" i="9" s="1"/>
  <c r="F45" i="9"/>
  <c r="H45" i="9" s="1"/>
  <c r="F43" i="9"/>
  <c r="H43" i="9" s="1"/>
  <c r="F42" i="9"/>
  <c r="H42" i="9" s="1"/>
  <c r="F41" i="9"/>
  <c r="H41" i="9" s="1"/>
  <c r="F40" i="9"/>
  <c r="H40" i="9" s="1"/>
  <c r="H39" i="9"/>
  <c r="G38" i="9"/>
  <c r="H38" i="9" s="1"/>
  <c r="H37" i="9"/>
  <c r="A37" i="9"/>
  <c r="F35" i="9"/>
  <c r="H35" i="9" s="1"/>
  <c r="F34" i="9"/>
  <c r="H34" i="9" s="1"/>
  <c r="H33" i="9"/>
  <c r="H32" i="9"/>
  <c r="H31" i="9"/>
  <c r="A31" i="9"/>
  <c r="A32" i="9" s="1"/>
  <c r="A33" i="9" s="1"/>
  <c r="A34" i="9" s="1"/>
  <c r="A35" i="9" s="1"/>
  <c r="F29" i="9"/>
  <c r="H29" i="9" s="1"/>
  <c r="F28" i="9"/>
  <c r="H28" i="9" s="1"/>
  <c r="G27" i="9"/>
  <c r="H27" i="9" s="1"/>
  <c r="H26" i="9"/>
  <c r="H25" i="9"/>
  <c r="F23" i="9"/>
  <c r="H23" i="9" s="1"/>
  <c r="F22" i="9"/>
  <c r="H22" i="9" s="1"/>
  <c r="G21" i="9"/>
  <c r="H21" i="9" s="1"/>
  <c r="G20" i="9"/>
  <c r="H20" i="9" s="1"/>
  <c r="G19" i="9"/>
  <c r="H19" i="9" s="1"/>
  <c r="H18" i="9"/>
  <c r="G16" i="9"/>
  <c r="H16" i="9" s="1"/>
  <c r="H15" i="9"/>
  <c r="H14" i="9"/>
  <c r="H13" i="9"/>
  <c r="H12" i="9"/>
  <c r="H11" i="9"/>
  <c r="H10" i="9"/>
  <c r="H9" i="9"/>
  <c r="A9" i="9"/>
  <c r="A10" i="9" s="1"/>
  <c r="A11" i="9" s="1"/>
  <c r="A12" i="9" s="1"/>
  <c r="A13" i="9" s="1"/>
  <c r="A14" i="9" s="1"/>
  <c r="A15" i="9" s="1"/>
  <c r="A16" i="9" s="1"/>
  <c r="G7" i="9"/>
  <c r="F7" i="9"/>
  <c r="H6" i="9"/>
  <c r="G5" i="9"/>
  <c r="H5" i="9" s="1"/>
  <c r="H4" i="9"/>
  <c r="H3" i="9"/>
  <c r="A3" i="9"/>
  <c r="A4" i="9" s="1"/>
  <c r="A6" i="9" s="1"/>
  <c r="A7" i="9" s="1"/>
  <c r="I164" i="9" l="1"/>
  <c r="I110" i="9"/>
  <c r="I150" i="9"/>
  <c r="I43" i="9"/>
  <c r="I134" i="9"/>
  <c r="I154" i="9"/>
  <c r="I115" i="9"/>
  <c r="I23" i="9"/>
  <c r="I46" i="9"/>
  <c r="I72" i="9"/>
  <c r="I100" i="9"/>
  <c r="I120" i="9"/>
  <c r="I137" i="9"/>
  <c r="I158" i="9"/>
  <c r="I65" i="9"/>
  <c r="I28" i="9"/>
  <c r="I53" i="9"/>
  <c r="I105" i="9"/>
  <c r="I124" i="9"/>
  <c r="I146" i="9"/>
  <c r="I161" i="9"/>
  <c r="I15" i="9"/>
  <c r="I133" i="9"/>
  <c r="I29" i="9"/>
  <c r="I104" i="9"/>
  <c r="I145" i="9"/>
  <c r="I73" i="9"/>
  <c r="I40" i="9"/>
  <c r="I114" i="9"/>
  <c r="I153" i="9"/>
  <c r="I10" i="9"/>
  <c r="I45" i="9"/>
  <c r="I123" i="9"/>
  <c r="I160" i="9"/>
  <c r="I91" i="9"/>
  <c r="I4" i="9"/>
  <c r="I11" i="9"/>
  <c r="I22" i="9"/>
  <c r="I33" i="9"/>
  <c r="I41" i="9"/>
  <c r="I64" i="9"/>
  <c r="I76" i="9"/>
  <c r="I86" i="9"/>
  <c r="I83" i="9"/>
  <c r="H162" i="9"/>
  <c r="I12" i="9"/>
  <c r="I35" i="9"/>
  <c r="I42" i="9"/>
  <c r="I52" i="9"/>
  <c r="I87" i="9"/>
  <c r="I99" i="9"/>
  <c r="I109" i="9"/>
  <c r="I119" i="9"/>
  <c r="I127" i="9"/>
  <c r="I136" i="9"/>
  <c r="I149" i="9"/>
  <c r="I157" i="9"/>
  <c r="I163" i="9"/>
  <c r="I9" i="9"/>
  <c r="I82" i="9"/>
  <c r="H7" i="9"/>
  <c r="H159" i="9"/>
  <c r="H111" i="9"/>
  <c r="H155" i="9"/>
  <c r="H74" i="9"/>
  <c r="H17" i="9"/>
  <c r="H24" i="9"/>
  <c r="H48" i="9"/>
  <c r="H2" i="9"/>
  <c r="H129" i="9"/>
  <c r="H92" i="9"/>
  <c r="H125" i="9"/>
  <c r="H66" i="9"/>
  <c r="H135" i="9"/>
  <c r="H147" i="9"/>
  <c r="H8" i="9"/>
  <c r="H44" i="9"/>
  <c r="H58" i="9"/>
  <c r="H116" i="9"/>
  <c r="H121" i="9"/>
  <c r="H96" i="9"/>
  <c r="H101" i="9"/>
  <c r="H79" i="9"/>
  <c r="H151" i="9"/>
  <c r="A5" i="9"/>
  <c r="H30" i="9"/>
  <c r="H54" i="9"/>
  <c r="H106" i="9"/>
  <c r="A38" i="9"/>
  <c r="A39" i="9" s="1"/>
  <c r="A40" i="9" s="1"/>
  <c r="A41" i="9" s="1"/>
  <c r="A42" i="9" s="1"/>
  <c r="A43" i="9" s="1"/>
  <c r="A157" i="9"/>
  <c r="A158" i="9" s="1"/>
  <c r="H36" i="9" l="1"/>
  <c r="H142" i="9"/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D3" i="2"/>
  <c r="C4" i="2"/>
  <c r="C3" i="2"/>
  <c r="C2" i="2"/>
  <c r="D2" i="2" l="1"/>
  <c r="C7" i="2"/>
  <c r="D7" i="2" s="1"/>
  <c r="D4" i="2"/>
  <c r="C8" i="2"/>
  <c r="D8" i="2" s="1"/>
  <c r="I144" i="3"/>
  <c r="D11" i="2" l="1"/>
</calcChain>
</file>

<file path=xl/sharedStrings.xml><?xml version="1.0" encoding="utf-8"?>
<sst xmlns="http://schemas.openxmlformats.org/spreadsheetml/2006/main" count="1093" uniqueCount="450">
  <si>
    <t>SER.CG</t>
  </si>
  <si>
    <t>M2</t>
  </si>
  <si>
    <t>H</t>
  </si>
  <si>
    <t>88316U</t>
  </si>
  <si>
    <t>SERVENTE COM ENCARGOS COMPLEMENTARES</t>
  </si>
  <si>
    <t>MAT.</t>
  </si>
  <si>
    <t>UN</t>
  </si>
  <si>
    <t>Nº</t>
  </si>
  <si>
    <t>KG</t>
  </si>
  <si>
    <t>M</t>
  </si>
  <si>
    <t>88309U</t>
  </si>
  <si>
    <t>PEDREIRO COM ENCARGOS COMPLEMENTARES</t>
  </si>
  <si>
    <t>M3</t>
  </si>
  <si>
    <t>88256U</t>
  </si>
  <si>
    <t>AZULEJISTA OU LADRILHISTA COM ENCARGOS COMPLEMENTARES</t>
  </si>
  <si>
    <t>95468U</t>
  </si>
  <si>
    <t>PINTURA ESMALTE BRILHANTE (2 DEMAOS) SOBRE SUPERFICIE METALICA, INCLUSIVE PROTECAO COM ZARCAO (1 DEMAO)</t>
  </si>
  <si>
    <t>LIXA EM FOLHA PARA FERRO, NUMERO 150</t>
  </si>
  <si>
    <t>SOLVENTE DILUENTE A BASE DE AGUARRAS</t>
  </si>
  <si>
    <t>L</t>
  </si>
  <si>
    <t>TINTA ESMALTE SINTETICO PREMIUM BRILHANTE</t>
  </si>
  <si>
    <t>FUNDO ANTICORROSIVO PARA METAIS FERROSOS (ZARCAO)</t>
  </si>
  <si>
    <t>88310U</t>
  </si>
  <si>
    <t>PINTOR COM ENCARGOS COMPLEMENTARES</t>
  </si>
  <si>
    <t>87634U</t>
  </si>
  <si>
    <t>CONTRAPISO EM ARGAMASSA PRONTA, PREPARO MANUAL, APLICADO EM ÁREAS SECAS SOBRE LAJE, ADERIDO, ESPESSURA 3CM. AF_06/2014</t>
  </si>
  <si>
    <t>CIMENTO PORTLAND COMPOSTO CP II-32</t>
  </si>
  <si>
    <t>ADITIVO ADESIVO LIQUIDO PARA ARGAMASSAS DE REVESTIMENTOS CIMENTICIOS</t>
  </si>
  <si>
    <t>87399U</t>
  </si>
  <si>
    <t>ARGAMASSA PRONTA PARA CONTRAPISO, PREPARO MANUAL. AF_06/2014</t>
  </si>
  <si>
    <t>87702U</t>
  </si>
  <si>
    <t>CONTRAPISO EM ARGAMASSA TRAÇO 1:4 (CIMENTO E AREIA), PREPARO MANUAL, APLICADO EM ÁREAS SECAS SOBRE LAJE, NÃO ADERIDO, ESPESSURA 6CM. AF_06/2014</t>
  </si>
  <si>
    <t>ARGAMASSA COLANTE AC I PARA CERAMICAS</t>
  </si>
  <si>
    <t>REJUNTE COLORIDO, CIMENTICIO</t>
  </si>
  <si>
    <t>87262U</t>
  </si>
  <si>
    <t>ARGAMASSA COLANTE TIPO ACIII</t>
  </si>
  <si>
    <t>2N 36 16 25 12 29</t>
  </si>
  <si>
    <t>MOD</t>
  </si>
  <si>
    <t>2N 36 16 25 12 34</t>
  </si>
  <si>
    <t>87264U</t>
  </si>
  <si>
    <t xml:space="preserve">GRANITO BRANCO ARTICO </t>
  </si>
  <si>
    <t>86895U</t>
  </si>
  <si>
    <t>REJUNTE EPOXI BRANCO</t>
  </si>
  <si>
    <t>SUPORTE MAO-FRANCESA EM ACO, ABAS IGUAIS 30 CM, CAPACIDADE MINIMA 60 KG, BRANCO</t>
  </si>
  <si>
    <t>MASSA PLASTICA PARA MARMORE/GRANITO</t>
  </si>
  <si>
    <t>BUCHA DE NYLON SEM ABA S10, COM PARAFUSO DE 6,10 X 65 MM EM ACO ZINCADO COM ROSCA SOBERBA, CABECA CHATA E FENDA PHILLIPS</t>
  </si>
  <si>
    <t>88274U</t>
  </si>
  <si>
    <t>MARMORISTA/GRANITEIRO COM ENCARGOS COMPLEMENTARES</t>
  </si>
  <si>
    <t>BANCADA DE GRANITO PRETO TIJUCA - FORNECIMENTO E INSTALAÇÃO. AF_12/2013</t>
  </si>
  <si>
    <t>BANCADA DE GRANITO BRANCO ÁRTICO - FORNECIMENTO E INSTALAÇÃO. AF_12/2013</t>
  </si>
  <si>
    <t>86905U</t>
  </si>
  <si>
    <t>FITA VEDA ROSCA EM ROLOS DE 18 MM X 10 M (L X C)</t>
  </si>
  <si>
    <t>88267U</t>
  </si>
  <si>
    <t>ENCANADOR OU BOMBEIRO HIDRÁULICO COM ENCARGOS COMPLEMENTARES</t>
  </si>
  <si>
    <t>DUCHA HIGIENICA PLASTICA COM REGISTRO METALICO 1/2 "</t>
  </si>
  <si>
    <t>9535U</t>
  </si>
  <si>
    <t>FITA VEDA ROSCA EM ROLOS DE 18 MM X 50 M (L X C)</t>
  </si>
  <si>
    <t>88264U</t>
  </si>
  <si>
    <t>ELETRICISTA COM ENCARGOS COMPLEMENTARES</t>
  </si>
  <si>
    <t>73739/1U</t>
  </si>
  <si>
    <t>PINTURA ESMALTE ACETINADO EM MADEIRA, DUAS DEMAOS</t>
  </si>
  <si>
    <t>LIXA EM FOLHA PARA PAREDE OU MADEIRA, NUMERO 120 (COR VERMELHA)</t>
  </si>
  <si>
    <t>TINTA ESMALTE SINTETICO PREMIUM ACETINADO</t>
  </si>
  <si>
    <t>72815U</t>
  </si>
  <si>
    <t>APLICACAO DE TINTA A BASE DE EPOXI SOBRE PISO</t>
  </si>
  <si>
    <t>TINTA EPOXI PREMIUM, BRANCA</t>
  </si>
  <si>
    <t>88488U</t>
  </si>
  <si>
    <t>APLICAÇÃO MANUAL DE PINTURA COM TINTA LÁTEX ACRÍLICA EM TETO, DUAS DEMÃOS. AF_06/2014</t>
  </si>
  <si>
    <t>TINTA ACRILICA PREMIUM, COR BRANCO FOSCO</t>
  </si>
  <si>
    <t>88489U</t>
  </si>
  <si>
    <t>APLICAÇÃO MANUAL DE PINTURA COM TINTA LÁTEX ACRÍLICA EM PAREDES, DUAS DEMÃOS. AF_06/2014</t>
  </si>
  <si>
    <t>95626U</t>
  </si>
  <si>
    <t>85371U</t>
  </si>
  <si>
    <t>REMOCAO DE PISO EM CARPETE</t>
  </si>
  <si>
    <t>AJUDANTE</t>
  </si>
  <si>
    <t>MEIO OFICIAL</t>
  </si>
  <si>
    <t>OFICIAL</t>
  </si>
  <si>
    <t>SALARIO</t>
  </si>
  <si>
    <t>ENCARGOS</t>
  </si>
  <si>
    <t>HORA</t>
  </si>
  <si>
    <t>UND</t>
  </si>
  <si>
    <t>ESQUADRIAS DE FERRO - RETIRADA,
FORNECIMENTO E INSTALAÇÃO DE CANTONEIRA</t>
  </si>
  <si>
    <t>PAVIMENTAÇÃO E REVESTIMENTO – RETIRADA, FORNECIMENTO E INSTALAÇÃO DE REVESTIMENTO DE PISO EM PORCELANATO CONFORME PADRÃO EXISTENTE</t>
  </si>
  <si>
    <t>PAVIMENTAÇÃO E REVESTIMENTO - LAVAGEM                        E REJUNTAMENTO DE PASTILHA</t>
  </si>
  <si>
    <t>PEDRAS   ORNAMENTAIS – RETIRADA, FORNECIMENTO            E INSTALAÇÃO DE REVESTIMENTO EM GRANITO BRANCO ÁRTICO COM 20 mm DE ESPESSURA</t>
  </si>
  <si>
    <t>CÂMARA DOS DEPUTADOS</t>
  </si>
  <si>
    <t>COMISSÃO PERMANENTE DE LICITAÇÃO</t>
  </si>
  <si>
    <t>Pregão Eletrônico n. 33/2018</t>
  </si>
  <si>
    <t>Processo n. 107.287/2017</t>
  </si>
  <si>
    <t>ANEXO N. 5</t>
  </si>
  <si>
    <t>DESCRIÇÃO</t>
  </si>
  <si>
    <t>ELEMENTOS DECORATIVOS – RETIRADA   DO   FORRO EXISTENTE, FORNECIMENTO E INSTALAÇÃO DE FORRO DE GESSO ACARTONADO EM CHAPAS</t>
  </si>
  <si>
    <t>ESQUADRIAS DE MADEIRA – RETIRADA, FORNECIMENTO E INSTALAÇÃO DE PORTA PIVOTANTE EM MADEIRA PARA  PINTURA  80  cm  x
210 cm COM  VISORES EM VIDRO</t>
  </si>
  <si>
    <t>ESQUADRIAS DE MADEIRA   –   RETIRADA, FORNECIMENTO E INSTALAÇÃO DE PORTA EM  MADEIRA  LAMINADA
EM IPÊ 80 cm x 210 cm</t>
  </si>
  <si>
    <t>ESQUADRIAS DE MADEIRA – FORNECIMENTO            E INSTALAÇÃO DE PRENDEDOR DE PORTA</t>
  </si>
  <si>
    <t>RETIRADA, FORNECIMENTO E INSTALAÇÃO  DE  CHAPA DOBRADA (BASE)</t>
  </si>
  <si>
    <t>ESQUADRIAS DE FERRO - RETIRADA, FORNECIMENTO E INSTALAÇÃO DE CHAPA DOBRADA</t>
  </si>
  <si>
    <t>RETIRADA, FORNECIMENTO E INSTALAÇÃO  DE  CHAPA CADEIRINHA</t>
  </si>
  <si>
    <t>ESQUADRIAS DE FERRO – RETIRADA,
FORNECIMENTO E INSTALAÇÃO DE CHAPA PLANA                           DE SUSTENTAÇÃO DO VIDRO COLORIDO</t>
  </si>
  <si>
    <t>ESQUADRIAS DE FERRO - RETIRADA,
FORNECIMENTO E INSTALAÇÃO DE CHAPA TIPO "U", PARA TAMPA DE CONTRAPESOS</t>
  </si>
  <si>
    <t>ESQUADRIAS DE FERRO - RETIRADA,
FORNECIMENTO E INSTALAÇÃO DE TRILHO DE JANELA GUILHOTINA</t>
  </si>
  <si>
    <t>ESQUADRIAS DE FERRO - RETIRADA, FORNECIMENTO E INSTALAÇÃO DE TRILHOS PARA JANELA CORREDIÇA</t>
  </si>
  <si>
    <t>ESQUADRIAS DE FERRO - RETIRADA,
FORNECIMENTO E INSTALAÇÃO DE BAGUETE</t>
  </si>
  <si>
    <t>ESQUADRIAS DE FERRO - RETIRADA,
FORNECIMENTO E INSTALAÇÃO DE ARTICULAÇÃO DE JANELA BASCULANTE</t>
  </si>
  <si>
    <t>ESQUADRIAS DE ALUMÍNIO - RETIRADA, FORNECIMENTO E INSTALAÇÃO DE BAGUETE DE 10 mm (3/8')</t>
  </si>
  <si>
    <t>ESQUADRIAS DE ALUMÍNIO - RETIRADA, FORNECIMENTO E INSTALAÇÃO DE ARTICULAÇÃO DE JANELA BASCULANTE OU MÁXIMO-AR</t>
  </si>
  <si>
    <t>ESQUADRIAS DE ALUMÍNIO - RETIRADA, FORNECIMENTO E INSTALAÇÃO DE ALAVANCA DE ACIONAMENTO PARA JANELA BASCULANTE OU MÁXIMO-AR</t>
  </si>
  <si>
    <t>PROTEÇÕES - FORNECIMENTO E INSTALAÇÃO DE GRADE DE PROTEÇÃO INTERNA EM ALUMÍNIO</t>
  </si>
  <si>
    <t>PROTEÇÕES - FORNECIMENTO E INSTALAÇÃO DE GRADE DE PROTEÇÃO INTERNA EM AÇO</t>
  </si>
  <si>
    <t>TRABALHO EM ALTURA – RETIRADA, FORNECIMENTO E INSTALAÇÃO DE PINGADEIRA</t>
  </si>
  <si>
    <t>PINTURA COM TINTA ESMALTE SOBRE ESQUADRIAS  METÁLICAS -   USO   DE BALANCIM</t>
  </si>
  <si>
    <t>ALVENARIA - FORNECIMENTO E EXECUÇÃO DE ALVENARIA EM TIJOLO FURADO DE BARRO</t>
  </si>
  <si>
    <t>FORNECIMENTO E APLICAÇÃO DE CONTRAPISO EM ARGAMASSA INDUSTRIALIZADA  PARA ASSENTAMENTO DE REVESTIMENTOS E = 30 mm</t>
  </si>
  <si>
    <t>FORNECIMENTO E APLICAÇÃO DE CONTRAPISO EM ARGAMASSA DE CIMENTO E AREIA MÉDIA PARA ASSENTAMENTO DE REVESTIMENTOS E = 60 mm A 80 mm</t>
  </si>
  <si>
    <t>PAVIMENTAÇÃO E REVESTIMENTO – RETIRADA, FORNECIMENTO E INSTALAÇÃO DE REVESTIMENTO DE PISO EM CERÂMICA, CONFORME PADRÃO EXISTENTE (m²)</t>
  </si>
  <si>
    <t>PAVIMENTAÇÃO E REVESTIMENTO – RETIRADA, FORNECIMENTO E INSTALAÇÃO DE REVESTIMENTO DE PISO EM CERÂMICA FORA DE LINHA (m²)</t>
  </si>
  <si>
    <t>SUBSTITUIÇÃO  DE PISO EXISTENTE COM FORNECIMENTO, ASSENTAMENTO E REJUNTAMENTODE PORCELANATO 90 cm X 90 cm</t>
  </si>
  <si>
    <t>PAVIMENTAÇÃO E REVESTIMENTO  – RETIRADA, FORNECIMENTO E INSTALAÇÃO DE REVESTIMENTO DE PISO EM  PORCELANATO FORA DE LINHA</t>
  </si>
  <si>
    <t>PAVIMENTAÇÃO E REVESTIMENTO – RETIRADA, FORNECIMENTO E APLICAÇÃO DE GRANILITE</t>
  </si>
  <si>
    <t>PAVIMENTAÇÃO E REVESTIMENTO – RETIRADA, FORNECIMENTO E INSTALAÇÃO DE PISO VINÍLICO EM PLACAS</t>
  </si>
  <si>
    <t>PAVIMENTAÇÃO E REVESTIMENTO - LAVAGEM E REJUNTAMENTO DE CERÂMICA (PISO)</t>
  </si>
  <si>
    <t>PAVIMENTAÇÃO E REVESTIMENTO - LAVAGEM E REJUNTAMENTO DE PORCELANATO</t>
  </si>
  <si>
    <t>PAVIMENTAÇÃO E REVESTIMENTO- RETIRADA, FORNECIMENTO E INSTALAÇÃO  DE RODAPÉ DE MADEIRA COM 5 cm, CONFORME PADRÃO EXISTENTE</t>
  </si>
  <si>
    <t>PAVIMENTAÇÃO E REVESTIMENTO - RETIRADA, FORNECIMENTO E INSTALAÇÃO  DE RODAPÉ DE MADEIRA COM 7 cm, CONFORME PADRÃO EXISTENTE</t>
  </si>
  <si>
    <t>PAVIMENTAÇÃO E REVESTIMENTO - RETIRADA, FORNECIMENTO E INSTALAÇÃO DE RODAPÉ VINÍLICO DE 50mm</t>
  </si>
  <si>
    <t>PAVIMENTAÇÃO E REVESTIMENTO - RETIRADA, FORNECIMENTO E INSTALAÇÃO DE RODAPÉ VINÍLICO DE 75mm</t>
  </si>
  <si>
    <t>PAVIMENTAÇÃO E REVESTIMENTO - RETIRADA, FORNECIMENTO E INSTALAÇÃO DE ARREMATE        VINÍLICO PARA DEGRAU</t>
  </si>
  <si>
    <t>FORNECIMENTO E APLICAÇÃO DE CHAPISCO EM ARGAMASSA INDUSTRIALIZADA</t>
  </si>
  <si>
    <t>ARGAMASSAS - FORNECIMENTO E APLICAÇÃO DE REBOCO (MASSA ÚNICA)COM ARGAMASSA INDUSTRIALIZADA</t>
  </si>
  <si>
    <t>REVESTIMENTO – RETIRADA, FORNECIMENTO E INSTALAÇÃO DE AZULEJO BRANCO 15 cm x 15 cm</t>
  </si>
  <si>
    <t>REVESTIMENTO – RETIRADA, FORNECIMENTO E INSTALAÇÃO DE AZULEJO 15 cm x 15 cm FORA DE LINHA</t>
  </si>
  <si>
    <t>REVESTIMENTO – RETIRADA DE REVESTIMENTO EXISTENTE COM FORNECIMENTO E ASSENTAMENTO         DE REVESTIMENTO CERÂMICO 30 cm X 60 cm EM PAREDE</t>
  </si>
  <si>
    <t>REVESTIMENTO – RETIRADA, FORNECIMENTO E INSTALAÇÃO DE REVESTIMENTO DE PAREDE CERÂMICO, CONFORME PADRÃO EXISTENTE</t>
  </si>
  <si>
    <t>RETIRADA DE REVESTIMENTO EXISTENTE COM FORNECIMENTO E ASSENTAMENTO DE PASTILHA CERÂMICA SOBRE PAREDE</t>
  </si>
  <si>
    <t>PAVIMENTAÇÃO E REVESTIMENTO – RETIRADA, FORNECIMENTO E INSTALAÇÃO DE LAMINADO MELAMÍNICO TEXTURIZADO</t>
  </si>
  <si>
    <t>LAVAGEM E REJUNTAMENTO DE AZULEJO</t>
  </si>
  <si>
    <t>PAVIMENTAÇÃO E REVESTIMENTO - LAVAGEM                        E REJUNTAMENTO DE CERÂMICA</t>
  </si>
  <si>
    <t>PEDRAS   ORNAMENTAIS – RETIRADA, FORNECIMENTO            E INSTALAÇÃO DE REVESTIMENTO EM MÁRMORE  BRANCO COM 20 mm  DE ESPESSURA</t>
  </si>
  <si>
    <t>PEDRAS   ORNAMENTAIS –  RETIRADA, FORNECIMENTO            E INSTALAÇÃO DE REVESTIMENTO EM MÁRMORE BEGE BAHIA COM 20 mm  DE ESPESSURA</t>
  </si>
  <si>
    <t>FORNECIMENTO, ASSENTAMENTO E REJUNTAMENTO DE GRANITO PRETO TIJUCA COM 20 mm  DE ESPESSURA</t>
  </si>
  <si>
    <t>PEDRAS ORNAMENTAIS - RECUPERAÇÃO DE SUPERFÍCIE EM MÁRMORE OU GRANITO</t>
  </si>
  <si>
    <t>LOUÇAS E METAIS - RETIRADA, FORNECIMENTO E INSTALAÇÃO DE CUBA DE EMBUTIR OVAL</t>
  </si>
  <si>
    <t>LOUÇA E METAIS - RETIRADA, FORNECIMENTO E INSTALAÇÃO DE CUBA DE SEMIENCAIXE SEM MESA</t>
  </si>
  <si>
    <t>LOUÇA E METAIS - RETIRADA, FORNECIMENTO E INSTALAÇÃO DE CUBA DE SEMIENCAIXE COM MESA</t>
  </si>
  <si>
    <t>LOUÇAS E METAIS - RETIRADA, FORNECIMENTO E INSTALAÇÃO DE CUBA DE SOBREPOR</t>
  </si>
  <si>
    <t>LOUÇAS E METAIS - RETIRADA, FORNECIMENTO E INSTALAÇÃO DE CUBA DE APOIO REDONDA</t>
  </si>
  <si>
    <t>LOUÇAS E METAIS - RETIRADA, FORNECIMENTO E
INSTALAÇÃO DE LAVATÓRIO PEQUENO EM LOUÇA</t>
  </si>
  <si>
    <t>LOUÇAS E METAIS – RETIRADA, FORNECIMENTO E INSTALAÇÃO DE CUBA DUPLA EM AÇO INOX COM FURO DE 4½”</t>
  </si>
  <si>
    <t>LOUÇAS E METAIS - RETIRADA, FORNECIMENTO E
INSTALAÇÃO DE TRITURADOR PARA PIA DE COZINHA</t>
  </si>
  <si>
    <t>LOUÇAS E METAIS – RETIRADA, FORNECIMENTOE
INSTALAÇÃO  DE TANQUE EM AÇO INOX COM FURO DE 3½”</t>
  </si>
  <si>
    <t>LOUÇAS E METAIS- RETIRADA, FORNECIMENTO E
INSTALAÇÃO  DE TANQUE EM LOUÇA COM COLUNA</t>
  </si>
  <si>
    <t>LOUÇAS E METAIS - RETIRADA, FORNECIMENTO E INSTALAÇÃO DE SIFÃO DE PVC</t>
  </si>
  <si>
    <t>LOUÇAS E METAIS - RETIRADA, FORNECIMENTO E
INSTALAÇÃO DE TORNEIRA PARA LAVATÓRIO BICA BAIXA</t>
  </si>
  <si>
    <t>LOUÇAS E METAIS - RETIRADA, FORNECIMENTO E
INSTALAÇÃO DE TORNEIRA ALTA 90° COM AREJADOR PARA LAVATÓRIO</t>
  </si>
  <si>
    <t>LOUÇAS E METAIS- RETIRADA, FORNECIMENTO E
INSTALAÇÃO DE TORNEIRA DE BICA MÓVEL ALTA COM AREJADOR PARA COZINHA</t>
  </si>
  <si>
    <t>LOUÇAS E METAIS - RETIRADA, FORNECIMENTO E
INSTALAÇÃO DE TORNEIRA DE PAREDE COM ADAPTADOR PARA MANGUEIRA PARA TANQUE</t>
  </si>
  <si>
    <t>LOUÇAS  E METAIS - RETIRADA, FORNECIMENTO E
INSTALAÇÃO DE MISTURADOR DE BICA ALTA COM AREJADOR PARA LAVATÓRIO</t>
  </si>
  <si>
    <t>LOUÇAS E METAIS - RETIRADA, FORNECIMENTO E
INSTALAÇÃO DE MISTURADOR DE BICA MÓVEL ALTA DE MESA COM AREJADOR PARA PIA DE COZINHA</t>
  </si>
  <si>
    <t>LOUÇAS E METAIS - RETIRADA, FORNECIMENTO E
INSTALAÇÃO DE MISTURADOR DE BICA DE PAREDE MÓVEL COM AREJADOR PARA PIA DE COZINHA</t>
  </si>
  <si>
    <t>LOUÇAS E METAIS - RETIRADA, FORNECIMENTO E INSTALAÇÃO DE VASO SANITÁRIO  COM  CAIXA ACOPLADA</t>
  </si>
  <si>
    <t>LOUÇAS E METAIS - RETIRADA, FORNECIMENTO E INSTALAÇÃO DE VASO SANITÁRIO UNIVERSAL</t>
  </si>
  <si>
    <t>LOUÇAS E METAIS - RETIRADA, FORNECIMENTO E INSTALAÇÃO DE VASO SANITÁRIO MONTE CARLO</t>
  </si>
  <si>
    <t>LOUÇAS E METAIS - RETIRADA, FORNECIMENTO E
INSTALAÇÃO DE ASSENTO SANITÁRIO UNIVERSAL ALMOFADADO</t>
  </si>
  <si>
    <t>LOUÇAS E METAIS - RETIRADA, FORNECIMENTO E
INSTALAÇÃO DE ASSENTO SANITÁRIO EM POLIÉSTER</t>
  </si>
  <si>
    <t>LOUÇAS E METAIS - RETIRADA, FORNECIMENTO E
INSTALAÇÃO DE ASSENTO SANITÁRIO PARA DEFICIENTES</t>
  </si>
  <si>
    <t>LOUÇAS E METAIS - RETIRADA, FORNECIMENTO E INSTALAÇÃO DE DUCHA HIGIÊNICA</t>
  </si>
  <si>
    <t>LOUÇAS E METAIS - RETIRADA, FORNECIMENTO E
INSTALAÇÃO DE CHUVEIRO ELÉTRICO</t>
  </si>
  <si>
    <t>LOUÇAS E METAIS - RETIRADA, FORNECIMENTO E
INSTALAÇÃO DE CHUVEIRO METÁLICO</t>
  </si>
  <si>
    <t>LOUÇAS E METAIS- RETIRADA, FORNECIMENTO E
INSTALAÇÃO DE DESVIADOR COM DUCHA MANUAL</t>
  </si>
  <si>
    <t>LOUÇAS E METAIS - RETIRADA, FORNECIMENTO E
INSTALAÇÃO DE CHUVEIRO COM BARRA DE DESLIZAMENTO VERTICAL</t>
  </si>
  <si>
    <t>LOUÇAS E METAIS - RETIRADA, FORNECIMENTO E
INSTALAÇÃO DE ACABAMENTO DE MISTURADOR MONOCOMANDO PARA CHUVEIRO Ø ¾”</t>
  </si>
  <si>
    <t>LOUÇAS E METAIS - RETIRADA, FORNECIMENTO E
INSTALAÇÃO DE BANHEIRA DE IMERSÃO</t>
  </si>
  <si>
    <t>LOUÇAS E METAIS - RETIRADA, FORNECIMENTO E
INSTALAÇÃO DE BANHEIRA DE HIDROMASSAGEM</t>
  </si>
  <si>
    <t>LOUÇAS E METAIS – RETIRADA, FORNECIMENTO E
INSTALAÇÃO DE AQUECEDOR PARA BANHEIRA DE HIDROMASSAGEM</t>
  </si>
  <si>
    <t>LOUÇAS E METAIS – RETIRADA, FORNECIMENTO E
INSTALAÇÃO DE MOTOBOMBA PARA BANHEIRA DE HIDROMASSAGEM</t>
  </si>
  <si>
    <t>LOUÇAS E METAIS - RETIRADA, FORNECIMENTO E
INSTALAÇÃO DE ACABAMENTO DE REGISTRO</t>
  </si>
  <si>
    <t>LOUÇAS E METAIS - RETIRADA, FORNECIMENTO E
INSTALAÇÃO DE GRELHA  PARA  RALO  Ø 10 cm</t>
  </si>
  <si>
    <t>LOUÇAS E METAIS – RETIRADA, FORNECIMENTO E
INSTALAÇÃO DE GRELHA  PARA  RALO  Ø15 cm</t>
  </si>
  <si>
    <t>LOUÇAS E METAIS - RETIRADA, FORNECIMENTO E INSTALAÇÃO DE PORTA- TOALHA TIPO BASTÃO</t>
  </si>
  <si>
    <t>LOUÇAS E METAIS - RETIRADA, FORNECIMENTO E INSTALAÇÃO DE PORTA- TOALHA TIPO ARGOLA</t>
  </si>
  <si>
    <t>LOUÇAS E METAIS - RETIRADA, FORNECIMENTO E INSTALAÇÃO DE PORTA- TOALHA TIPO GANCHO</t>
  </si>
  <si>
    <t>LOUÇAS E METAIS - RETIRADA, FORNECIMENTO E
INSTALAÇÃO DE PAPELEIRA</t>
  </si>
  <si>
    <t>LOUÇAS E METAIS - RETIRADA, FORNECIMENTO E
INSTALAÇÃO DE PRATELEIRA</t>
  </si>
  <si>
    <t>LOUÇAS E METAIS - RETIRADA, FORNECIMENTO E
INSTALAÇÃO DE ARMÁRIO DE SOBREPOR PARA LAVATÓRIO</t>
  </si>
  <si>
    <t>PINTURA - PINTURA INTERNA  DE APARTAMENTO COM TINTA LÁTEX ACRÍLICA FOSCA SOBRE TETOS</t>
  </si>
  <si>
    <t>PINTURA - PINTURA INTERNA DE APARTAMENTO COM TINTA LÁTEX ACRÍLICA SOBRE PAREDES</t>
  </si>
  <si>
    <t>PINTURA - PINTURA INTERNA DE APARTAMENTO COM TINTA ESMALTE SINTÉTICO SOBRE PORTAS, PORTAIS, ALIZARES, ARMÁRIOS E ESTANTES E RODAPÉ DE MADEIRA</t>
  </si>
  <si>
    <t>PINTURA - PINTURA INTERNA DE APARTAMENTO COM TINTA ESMALTE SINTÉTICO SOBRE PORTAS, PORTAIS, ALIZARES, ARMÁRIOS, ESTANTES E RODAPÉ DE MADEIRA EM LAMINADO DE SUCUPIRA ENVERNIZADO</t>
  </si>
  <si>
    <t>PINTURA - PINTURA INTERNA DE APARTAMENTO COM TINTA ESMALTE SINTÉTICO SOBRE ESQUADRIAS  METÁLICAS</t>
  </si>
  <si>
    <t>PINTURA - PINTURA INTERNA DE APARTAMENTO COM APLICAÇÃO DE VERNIZES E RESINAS SOBRE PORTAS,
PORTAIS, ALIZARES, ARMÁRIOS, ESTANTES E RODAPÉ DE MADEIRA</t>
  </si>
  <si>
    <t>PINTURA - PINTURA INTERNA DE APARTAMENTO COM TINTA EPÓXI SOBRE AZULEJO E CERÂMICA ESMALTADA</t>
  </si>
  <si>
    <t>PINTURA  -  PINTURA  DE ÁREAS   COMUNS   COM TINTA                 ESMALTE SINTÉTICO SOBRE ESQUADRIAS  METÁLICAS</t>
  </si>
  <si>
    <t>FORNECIMENTO E INSTALAÇÃO DE PISO LAMINADO DE ALTA RESISTÊNCIA, COM ACABAMENTO EM LAMINADO MELAMÍNICO</t>
  </si>
  <si>
    <t>RETIRADA, FORNECIMENTO E INSTALAÇÃO DE PERFIS PARA PISO COM ACABAMENTO SUPERFICIAL EM LAMINADO MELAMÍNICO</t>
  </si>
  <si>
    <t>SINTECO - FORNECIMENTO E APLICAÇÃO DE SINTECO SOBRE PISO DE TACOS OU EM TÁBUA CORRIDA</t>
  </si>
  <si>
    <t>PREÇO GLOBAL ANUAL DO GRUPO ÚNICO (R$)</t>
  </si>
  <si>
    <t>C. UNITÁRIO</t>
  </si>
  <si>
    <t>QNTD</t>
  </si>
  <si>
    <t>C. TOTAL</t>
  </si>
  <si>
    <t>TRABALHO EM ALTURA – CALAFETAÇÃO DE ESQUADRIAS DE FACHADA</t>
  </si>
  <si>
    <t>REVESTIMENTO CERÂMICO PARA PISO COM PLACAS TIPO PORCELANATO DE DIMENSÕES 90X90 CM APLICADA EM AMBIENTES DE ÁREA ENTRE 5 M² E 10 M². AF_06/2014</t>
  </si>
  <si>
    <t>PEDREIRO</t>
  </si>
  <si>
    <t>SERVENTE</t>
  </si>
  <si>
    <t>87385U</t>
  </si>
  <si>
    <t>ARGAMASSA INDUSTRIALIZADA PARA REVESTIMENTOS, MISTURA E PROJEÇÃO DE 1,5 M³/H DE ARGAMASSA. AF_06/2014</t>
  </si>
  <si>
    <t>X</t>
  </si>
  <si>
    <t>TRABALHO EM ALTURA – RETIRADA, FORNECIMENTO E INSTALAÇÃO DE MONTANTE</t>
  </si>
  <si>
    <t>TRABALHO EM ALTURA – RETIRADA, FORNECIMENTO E INSTALAÇÃO  DE REVESTIMENTO DE PAREDE EM PASTILHA CERÂMICA</t>
  </si>
  <si>
    <t>AREIA MEDIA - POSTO JAZIDA/FORNECEDOR (RETIRADO NA JAZIDA, SEM TRANSPORTE)</t>
  </si>
  <si>
    <t>CHUVEIRO METÁLICO, FORNECIMENTO E INSTALACAO</t>
  </si>
  <si>
    <t>CHUVEIRO METÁLICO</t>
  </si>
  <si>
    <t>REBOCO (MASSA ÚNICA) COM ARGAMASSA INDUSTRIALIZADA</t>
  </si>
  <si>
    <t>GRANITO PARA BANCADA, PRETO TIJUCA, E= *2,5* CM</t>
  </si>
  <si>
    <t>REVESTIMENTO CERÂMICO PARA PAREDES INTERNAS COM PLACAS TIPO GRÊS OU SEMI-GRÊS DE DIMENSÕES 30X60 CM APLICADAS EM AMBIENTES DE ÁREA MENOR QUE 5 M² NA ALTURA INTEIRA DAS PAREDES. AF_06/2014</t>
  </si>
  <si>
    <t>PISO PORCELANATO 90 cm x 90 cm, E=10 mm</t>
  </si>
  <si>
    <t xml:space="preserve">REVESTIMENTO CERÂMICO 30 CM X 60 CM EM PAREDE COR BRANCA </t>
  </si>
  <si>
    <t>TINTA PARA PISO DE GARAGEM</t>
  </si>
  <si>
    <t>2N 36 16 25 12 30</t>
  </si>
  <si>
    <t>2N 36 16 25 15 09</t>
  </si>
  <si>
    <t>2C 03 10 04 00 08</t>
  </si>
  <si>
    <t>MAT</t>
  </si>
  <si>
    <t>2C 04 07 03 00 06</t>
  </si>
  <si>
    <t>2C 04 07 03 00 07</t>
  </si>
  <si>
    <t>2C 04 07 03 00 09</t>
  </si>
  <si>
    <t>PINTOR</t>
  </si>
  <si>
    <t>AJUDANTE DE PINTOR</t>
  </si>
  <si>
    <t>ESMALTE SINTÉTICO ACETINADO PARA PINTURA EM MADEIRAS E METAIS</t>
  </si>
  <si>
    <t>FUNDO NIVELADOR BRANCO FOSCO PARA MADEIRA</t>
  </si>
  <si>
    <t>LIXA GRANA 100 PARA SUPERFÍCIE MADEIRA/MASSA</t>
  </si>
  <si>
    <t>86915U</t>
  </si>
  <si>
    <t>TORNEIRA CROMADA DE MESA PARA LAVATORIO, BICA ALTA (REF 1195)</t>
  </si>
  <si>
    <t>79460U</t>
  </si>
  <si>
    <t>PINTURA EPOXI, DUAS DEMAOS</t>
  </si>
  <si>
    <t>APLICAÇÃO MANUAL DE PINTURA COM TINTA LÁTEX ACRÍLICA EM TETO, DUAS DEMÃOS</t>
  </si>
  <si>
    <t>APLICAÇÃO MANUAL DE TINTA LÁTEX ACRÍLICA EM PAREDE EXTERNAS DE CASAS, DUAS DEMÃOS</t>
  </si>
  <si>
    <t>86935U</t>
  </si>
  <si>
    <t>VÁLVULA DE ESCOAMENTO 4½", EM BRONZE CROMADO, COM ANEL DE VEDAÇÃO E TAMPÃO DE PLÁSTICO</t>
  </si>
  <si>
    <t xml:space="preserve">SIFÃO CROMADO DE 1¼” E 1½”, SAÍDA DE 1½” </t>
  </si>
  <si>
    <t>CUBA DUPLA EM AÇO INOX COM FURO DE 4½”</t>
  </si>
  <si>
    <t>CUBA DUPLA EM AÇO INOX COM FURO DE 4½”, INCLUSO VÁLVULA TIPO AMERICANA EM METAL CROMADO E SIFÃO CROMADO</t>
  </si>
  <si>
    <t>MISTURADOR DE BICA MÓVEL ALTA DE MESA COM AREJADOR PARA PIA DE COZINHA</t>
  </si>
  <si>
    <t>DUCHA HIGIÊNICA</t>
  </si>
  <si>
    <t>MISTURADOR DE BICA ALTA COM AREJADOR PARA LAVATÓRIO</t>
  </si>
  <si>
    <t>86909U</t>
  </si>
  <si>
    <t>TORNEIRA CROMADA DE MESA PARA COZINHA BICA MOVEL COM AREJADOR 1/2 " OU 3/4 "</t>
  </si>
  <si>
    <t xml:space="preserve">ACABAMENTO DE REGISTRO PARA TUBULAÇÃO DE ½” A 1½” </t>
  </si>
  <si>
    <t>84666U</t>
  </si>
  <si>
    <t>88259U</t>
  </si>
  <si>
    <t>CALAFETADOR/CALAFATE COM ENCARGOS COMPLEMENTARES</t>
  </si>
  <si>
    <t>95276U</t>
  </si>
  <si>
    <t>CHP</t>
  </si>
  <si>
    <t xml:space="preserve">DETERGENTE LIMPEZA PESADA </t>
  </si>
  <si>
    <t>RECUPERAÇÃO DE SUPERFÍCIE EM MÁRMORE OU GRANITO - LIMPEZA E POLIMENTO</t>
  </si>
  <si>
    <t>POLIDORA DE PISO (POLITRIZ)</t>
  </si>
  <si>
    <t>RETIRADA, FORNECIMENTO E INSTALAÇÃO DE CHAPA CADEIRINHA</t>
  </si>
  <si>
    <t>88325U</t>
  </si>
  <si>
    <t>SERVENTE COM ENCARGOS COMPLEMENTARES - RETIRAR VIDRO</t>
  </si>
  <si>
    <t>VIDRACEIRO COM ENCARGOS COMPLEMENTARES - RETIRAR VIDRO</t>
  </si>
  <si>
    <t>SERVENTE COM ENCARGOS COMPLEMENTARES - INSTALAÇÃO VIDRO</t>
  </si>
  <si>
    <t>VIDRACEIRO COM ENCARGOS COMPLEMENTARES - INSTALAÇÃO VIDRO</t>
  </si>
  <si>
    <t>88315U</t>
  </si>
  <si>
    <t>SERRALHEIRO COM ENCARGOS COMPLEMENTARES</t>
  </si>
  <si>
    <t>ML</t>
  </si>
  <si>
    <t>CHAPA #16 - 30 mm x 40 mm</t>
  </si>
  <si>
    <t>CHAPA #16 - 100 mm x 300 mm</t>
  </si>
  <si>
    <t>RETIRADA, FORNECIMENTO E INSTALAÇÃO DE CHAPA DOBRADA</t>
  </si>
  <si>
    <t>CÓDIGO</t>
  </si>
  <si>
    <t>PISO LAMINADO DE ALTA RESISTÊNCIA, COM ACABAMENTO EM LAMINADO MELAMÍNICO</t>
  </si>
  <si>
    <t>CALAFETAÇÃO SIKAFLEX WEBER/PU30 - BISNAGA 310 ML</t>
  </si>
  <si>
    <t>73948/11U</t>
  </si>
  <si>
    <t>LIMPEZA PISO CERAMICO</t>
  </si>
  <si>
    <t>ESTOPA</t>
  </si>
  <si>
    <t>ACIDO MURIATICO, DILUICAO 10% A 12% PARA USO EM LIMPEZA - AZULIM</t>
  </si>
  <si>
    <t>MARCA</t>
  </si>
  <si>
    <t>MODELO</t>
  </si>
  <si>
    <t>LINK</t>
  </si>
  <si>
    <t>http://www.sayerlack.com.br/produtos/tingidor-concentrado/</t>
  </si>
  <si>
    <t>TOPCOLOR</t>
  </si>
  <si>
    <t>SAYERLACK</t>
  </si>
  <si>
    <t>http://www.metalferco.com.br/prend-555/p</t>
  </si>
  <si>
    <t>METALFERCO</t>
  </si>
  <si>
    <r>
      <rPr>
        <b/>
        <sz val="10"/>
        <rFont val="Calibri"/>
        <family val="2"/>
        <scheme val="minor"/>
      </rPr>
      <t>GRUPO/ ITEM</t>
    </r>
  </si>
  <si>
    <r>
      <rPr>
        <b/>
        <sz val="10"/>
        <rFont val="Calibri"/>
        <family val="2"/>
        <scheme val="minor"/>
      </rPr>
      <t>PRESTAÇÃO DE SERVIÇOS DE REPARO E MANUTENÇÃO, COM FORNECIMENTO DE MATERIAL, EM IMÓVEIS FUNCIONAIS DA CÂMARA DOS DEPUTADOS</t>
    </r>
  </si>
  <si>
    <r>
      <rPr>
        <sz val="10"/>
        <rFont val="Calibri"/>
        <family val="2"/>
        <scheme val="minor"/>
      </rPr>
      <t>ESQUADRIAS DE MADEIRA – RETIRADA, FORNECIMENTO E INSTALAÇÃO DE PORTA EM MADEIRA PARA PINTURA 60 cm x 210 cm</t>
    </r>
  </si>
  <si>
    <r>
      <rPr>
        <sz val="10"/>
        <rFont val="Calibri"/>
        <family val="2"/>
        <scheme val="minor"/>
      </rPr>
      <t>ESQUADRIAS DE MADEIRA – RETIRADA, FORNECIMENTO E INSTALAÇÃO DE PORTA EM MADEIRA PARA PINTURA 70 cm x 210 cm</t>
    </r>
  </si>
  <si>
    <r>
      <rPr>
        <sz val="10"/>
        <rFont val="Calibri"/>
        <family val="2"/>
        <scheme val="minor"/>
      </rPr>
      <t>ESQUADRIAS DE MADEIRA – RETIRADA, FORNECIMENTO E INSTALAÇÃO DE PORTA EM MADEIRA PARA PINTURA 80 cm x 210 cm</t>
    </r>
  </si>
  <si>
    <r>
      <rPr>
        <sz val="10"/>
        <rFont val="Calibri"/>
        <family val="2"/>
        <scheme val="minor"/>
      </rPr>
      <t>ESQUADRIAS DE MADEIRA – RETIRADA, FORNECIMENTO E INSTALAÇÃO DE PORTA EM  MADEIRA  LAMINADA
EM IPÊ 80 cm x 210 cm COM PORTAL LARGO</t>
    </r>
  </si>
  <si>
    <r>
      <rPr>
        <sz val="10"/>
        <rFont val="Calibri"/>
        <family val="2"/>
        <scheme val="minor"/>
      </rPr>
      <t>ESQUADRIAS DE MADEIRA – RETIRADA, FORNECIMENTO E INSTALAÇÃO DE PORTA EM  MADEIRA  LAMINADA
EM IPÊ 80 cm x 210 cm COM PORTAL EXTRALARGO</t>
    </r>
  </si>
  <si>
    <r>
      <rPr>
        <sz val="10"/>
        <rFont val="Calibri"/>
        <family val="2"/>
        <scheme val="minor"/>
      </rPr>
      <t>ESQUADRIAS DE MADEIRA – RETIRADA, FORNECIMENTO E INSTALAÇÃO DE PORTA CORREDIÇA EM MADEIRA LAMINADA EM IPÊ TINGIDO NA TONALIDADE TABACO 95
cm x 221 cm</t>
    </r>
  </si>
  <si>
    <r>
      <rPr>
        <sz val="10"/>
        <rFont val="Calibri"/>
        <family val="2"/>
        <scheme val="minor"/>
      </rPr>
      <t>ESQUADRIAS DE MADEIRA – RETIRADA, FORNECIMENTO E INSTALAÇÃO DE PORTA EM MADEIRA LAMINADA EM IPÊ TINGIDO NA TONALIDADE TABACO SOB MEDIDA</t>
    </r>
  </si>
  <si>
    <r>
      <rPr>
        <sz val="10"/>
        <rFont val="Calibri"/>
        <family val="2"/>
        <scheme val="minor"/>
      </rPr>
      <t>SUBSTITUIÇÃO DE LAMINADO NATURAL PARA ESQUADRIAS EM MADEIRA</t>
    </r>
  </si>
  <si>
    <r>
      <rPr>
        <sz val="10"/>
        <rFont val="Calibri"/>
        <family val="2"/>
        <scheme val="minor"/>
      </rPr>
      <t>TINGIMENTO DE PORTA COM ACABAMENTO EM LAMINADO NATURAL DE IPÊ NA TONALIDADE TABACO</t>
    </r>
  </si>
  <si>
    <r>
      <rPr>
        <sz val="10"/>
        <rFont val="Calibri"/>
        <family val="2"/>
        <scheme val="minor"/>
      </rPr>
      <t>ESQUADRIAS DE ALUMÍNIO - RETIRADA, FORNECIMENTO E INSTALAÇÃO DE FECHO PRISIONEIRO PARA JANELA GUILHOTINA</t>
    </r>
  </si>
  <si>
    <r>
      <rPr>
        <sz val="10"/>
        <rFont val="Calibri"/>
        <family val="2"/>
        <scheme val="minor"/>
      </rPr>
      <t>ESQUADRIAS DE ALUMÍNIO - RETIRADA, FORNECIMENTO E INSTALAÇÃO DE HASTE DE COMANDO PARA JANELA MÁXIMO-AR</t>
    </r>
  </si>
  <si>
    <r>
      <rPr>
        <sz val="10"/>
        <rFont val="Calibri"/>
        <family val="2"/>
        <scheme val="minor"/>
      </rPr>
      <t>SUBSTITUIÇÃO DE TELA EM AÇO GALVANIZADO EM FACHADA - TRABALHO EM ALTURA</t>
    </r>
  </si>
  <si>
    <r>
      <rPr>
        <sz val="10"/>
        <rFont val="Calibri"/>
        <family val="2"/>
        <scheme val="minor"/>
      </rPr>
      <t>ARGAMASSAS – RETIRADA DO PISO EM MADEIRA</t>
    </r>
  </si>
  <si>
    <r>
      <rPr>
        <sz val="10"/>
        <rFont val="Calibri"/>
        <family val="2"/>
        <scheme val="minor"/>
      </rPr>
      <t>SUBSTITUIÇÃO DE BANCADA EM MÁRMORE BEGE BAHIA COM 20 mm DE ESPESSURA</t>
    </r>
  </si>
  <si>
    <r>
      <rPr>
        <sz val="10"/>
        <rFont val="Calibri"/>
        <family val="2"/>
        <scheme val="minor"/>
      </rPr>
      <t>SUBSTITUIÇÃO DE BANCADA EM GRANITO PRETO TIJUCA COM 20 mm DE ESPESSURA</t>
    </r>
  </si>
  <si>
    <r>
      <rPr>
        <sz val="10"/>
        <rFont val="Calibri"/>
        <family val="2"/>
        <scheme val="minor"/>
      </rPr>
      <t>SUBSTITUIÇÃO DE BANCADA EM GRANITO BRANCO ÁRTICO COM 20 mm DE ESPESSURA</t>
    </r>
  </si>
  <si>
    <r>
      <rPr>
        <sz val="10"/>
        <rFont val="Calibri"/>
        <family val="2"/>
        <scheme val="minor"/>
      </rPr>
      <t>SUBSTITUIÇÃO DE TUBO DE LIGAÇÃO CROMADO PARA VASO SANITÁRIO</t>
    </r>
  </si>
  <si>
    <r>
      <rPr>
        <sz val="10"/>
        <rFont val="Calibri"/>
        <family val="2"/>
        <scheme val="minor"/>
      </rPr>
      <t>PINTURA - PINTURA DE ÁREAS COMUNS COM TINTA LÁTEX ACRÍLICA FOSCA SOBRE TETOS</t>
    </r>
  </si>
  <si>
    <r>
      <rPr>
        <sz val="10"/>
        <rFont val="Calibri"/>
        <family val="2"/>
        <scheme val="minor"/>
      </rPr>
      <t>PINTURA - PINTURA DE ÁREAS COMUNS COM TINTA LÁTEX ACRÍLICA SOBRE PAREDES</t>
    </r>
  </si>
  <si>
    <r>
      <rPr>
        <sz val="10"/>
        <rFont val="Calibri"/>
        <family val="2"/>
        <scheme val="minor"/>
      </rPr>
      <t>PINTURA - PINTURA DE ÁREAS COMUNS SOBRE PISO DE GARAGEM</t>
    </r>
  </si>
  <si>
    <r>
      <rPr>
        <sz val="10"/>
        <rFont val="Calibri"/>
        <family val="2"/>
        <scheme val="minor"/>
      </rPr>
      <t>RETIRADA DE PISO FLUTUANTE OU CARPETE TEXTIL EXISTENTE</t>
    </r>
  </si>
  <si>
    <r>
      <rPr>
        <sz val="10"/>
        <rFont val="Calibri"/>
        <family val="2"/>
        <scheme val="minor"/>
      </rPr>
      <t>SUBSTITUIÇÃO DE RODAPÉ PARA  PISO COM ACABAMENTO SUPERFICIAL EM LAMINADO MELAMÍNICO</t>
    </r>
  </si>
  <si>
    <t>GRUPO ÚNICO 
(Itens 1 a 134)</t>
  </si>
  <si>
    <t>https://www.sherwin-williams.com.br/produto-detalhe/novacor-piso-ultra</t>
  </si>
  <si>
    <t>NOVACOR PISO ULTRA</t>
  </si>
  <si>
    <t>SHERWIN WILLIAMS</t>
  </si>
  <si>
    <t>PINTURA - PINTURA DE ÁREAS COMUNS COM TINTA PARA DEMARCAÇÃO DE TRÁFEGO À BASE DE POLÍMEROS ACRÍLICOS</t>
  </si>
  <si>
    <t>http://www.resicolor.com.br/pt-br/produto/demarcacao-viaria-95</t>
  </si>
  <si>
    <t>DEMARCAÇÃO VIÁRIA</t>
  </si>
  <si>
    <t>RESICOLOR</t>
  </si>
  <si>
    <t>https://www.sherwin-williams.com.br/produto-detalhe/epoxi-base-agua</t>
  </si>
  <si>
    <t>SHERWIM WILLIAMS</t>
  </si>
  <si>
    <t>EPÓXI BASE ÁGUA</t>
  </si>
  <si>
    <t>SUVINIL</t>
  </si>
  <si>
    <t>MARÍTIMO PREMIUM</t>
  </si>
  <si>
    <t>https://www.suvinil.com.br/pt/produtos/26/suvinil-maritimo.aspx</t>
  </si>
  <si>
    <t>LUKSCOLOR</t>
  </si>
  <si>
    <t>ACRÍLICO PREMIUM PLUS</t>
  </si>
  <si>
    <t>http://www.lukscolor.com.br/produto/153</t>
  </si>
  <si>
    <t>WEBER</t>
  </si>
  <si>
    <t>PU30</t>
  </si>
  <si>
    <t>https://www.quartzolit.weber/adesivos-e-selantes-quartzolit/selantes-para-vedacao/selante-pu30-quartzolit</t>
  </si>
  <si>
    <t>MOSAICOR</t>
  </si>
  <si>
    <t>NATURAL</t>
  </si>
  <si>
    <t>http://mosaicor.com.br/pastilha-porcelana-ceramica/pastilha-linha-natural.html</t>
  </si>
  <si>
    <t>ESMALTE PREMIUM PLUS</t>
  </si>
  <si>
    <t>http://www.lukscolor.com.br/produto/154</t>
  </si>
  <si>
    <t>INCEPA</t>
  </si>
  <si>
    <t>ALFENAS GP</t>
  </si>
  <si>
    <t>http://www2.incepa.com.br/linha/alfenas/ps_alfenas_nat_fit_44.5x44.5_gp</t>
  </si>
  <si>
    <t>PORTINARI</t>
  </si>
  <si>
    <t>PORTLAND HD GR</t>
  </si>
  <si>
    <t>http://www.ceramicaportinari.com.br/produtos/produto/?id=341</t>
  </si>
  <si>
    <t>PORTOBELLO</t>
  </si>
  <si>
    <t>MINERAL NUDE NAT</t>
  </si>
  <si>
    <t>https://www.portobello.com.br/produtos/mineral/porcelanato/nude/90x90-natural/22840</t>
  </si>
  <si>
    <t>FLOOREST</t>
  </si>
  <si>
    <t>LINHA PREMIERE</t>
  </si>
  <si>
    <t>https://www.quick-step.com.br/pt-br/pisos-laminados/floorest-premiere</t>
  </si>
  <si>
    <t>EUCATEX</t>
  </si>
  <si>
    <t>ORIGINAL</t>
  </si>
  <si>
    <t>http://www.eucatex.com.br/pt/pisos/pisos-laminados/acessorios-acabamento/produto?id=98</t>
  </si>
  <si>
    <t>DURAFLOOR</t>
  </si>
  <si>
    <t xml:space="preserve"> LVT</t>
  </si>
  <si>
    <t>http://www.duratexmadeira.com.br/pisos/pisos-vinilicos-lvt/urban/</t>
  </si>
  <si>
    <t xml:space="preserve">BEAULIEU </t>
  </si>
  <si>
    <t>CASTILLA</t>
  </si>
  <si>
    <t>http://www.beaulieu.com.br/produtos/vinilico/castilla-vinlico-em-rgua</t>
  </si>
  <si>
    <t xml:space="preserve">VOTORANTIM </t>
  </si>
  <si>
    <t>VOTOMASSA</t>
  </si>
  <si>
    <t>http://www.votorantimcimentos.com.br/produtos/argamassas-votomassa/votomassa-ac-ii-ceramica-externa/</t>
  </si>
  <si>
    <t>ELIANE</t>
  </si>
  <si>
    <t xml:space="preserve">BRANCO PISCINA </t>
  </si>
  <si>
    <t>http://www.eliane.com/produtos/branco-piscina-155x155</t>
  </si>
  <si>
    <t>WHITE PLAIN MATTE</t>
  </si>
  <si>
    <t>http://www.ceramicaportinari.com.br/produtos/produto/?id=1800</t>
  </si>
  <si>
    <t xml:space="preserve">CETIM BIANCO </t>
  </si>
  <si>
    <t>https://www.portobello.com.br/produtos/white-home/porcelanato/cetim-bianco/60x60-natural/25450</t>
  </si>
  <si>
    <t>JATOBÁ</t>
  </si>
  <si>
    <t>FÓRMICA</t>
  </si>
  <si>
    <t>BEGE L132</t>
  </si>
  <si>
    <t>http://www.formica.com.br/uni_L132.htm</t>
  </si>
  <si>
    <t>ICASA</t>
  </si>
  <si>
    <t>IL6</t>
  </si>
  <si>
    <t>http://icasa.com.br/site/produtos-detalhe.php?id=103</t>
  </si>
  <si>
    <t xml:space="preserve"> ICASA</t>
  </si>
  <si>
    <t>ICA5</t>
  </si>
  <si>
    <t>http://icasa.com.br/site/produtos-detalhe.php?id=117</t>
  </si>
  <si>
    <t>DECA</t>
  </si>
  <si>
    <t>L830.17</t>
  </si>
  <si>
    <t>https://www.deca.com.br/produto/cuba-de-semiencaixe-quadrada-com-mesa-branco-l83017/</t>
  </si>
  <si>
    <t>http://www.banheirosincepa.com.br/produtos/cuba-de-sobrepor-outono-40015</t>
  </si>
  <si>
    <t>http://www.banheirosincepa.com.br/produtos/cuba-redonda-de-apoio-r2-85098</t>
  </si>
  <si>
    <t>http://www.banheirosincepa.com.br/produtos/lavatorio-suspenso-11038</t>
  </si>
  <si>
    <t>FRANKE</t>
  </si>
  <si>
    <t>https://www.franke.com/br/pt/ks/produtos/cubas-e-pias/galassia/101-0327-798_detail.html</t>
  </si>
  <si>
    <t>https://www.franke.com/br/pt/ks/produtos/raccolta-differenziata/triturador-de-alimentos/134-0372-958_detail.html</t>
  </si>
  <si>
    <t>https://www.franke.com/br/pt/ks/produtos/lavanderia-e-lavabos/lavanderia/113-0321-346_detail.html</t>
  </si>
  <si>
    <t>http://www.banheirosincepa.com.br/produtos/tanque-g-51266</t>
  </si>
  <si>
    <t>AMANCO</t>
  </si>
  <si>
    <t>http://amanco.com.br/produtos/predial/banheiro/acessorios/sifao-de-copo-universal</t>
  </si>
  <si>
    <t>LORENZETTI</t>
  </si>
  <si>
    <t>1194 C41</t>
  </si>
  <si>
    <t>http://www.lorenzetti.com.br/pt/Detalhes_Produto.aspx?id=522</t>
  </si>
  <si>
    <t>FABRIMAR</t>
  </si>
  <si>
    <t>1166-GIO</t>
  </si>
  <si>
    <t>http://www.fabrimar.com.br/produto/torneira-de-banca-alta-90-com-arejador-e-tubo-movel-gioia</t>
  </si>
  <si>
    <t>1167 C46</t>
  </si>
  <si>
    <t>http://www.lorenzetti.com.br/pt/Detalhes_Produto.aspx?id=1019</t>
  </si>
  <si>
    <t>1153-MY</t>
  </si>
  <si>
    <t>http://www.fabrimar.com.br/produto/torneira-de-tanque-e-jardim-misty?ambientes=5</t>
  </si>
  <si>
    <t>PERFLEX</t>
  </si>
  <si>
    <t>https://www.deca.com.br/produto/misturador-de-mesa-bica-alta-para-lavatorio-cromado-1877c64/</t>
  </si>
  <si>
    <t>http://www.fabrimar.com.br/produto/misturador-de-cozinha-banca-tubo-misty</t>
  </si>
  <si>
    <t>P.909.</t>
  </si>
  <si>
    <t>https://www.deca.com.br/produto/bacia-para-caixa-acoplada-branco-p90917/</t>
  </si>
  <si>
    <t>IP7</t>
  </si>
  <si>
    <t>http://www.icasa.com.br/produto.php?id=37</t>
  </si>
  <si>
    <t>http://www.banheirosincepa.com.br/produtos/bacia-convencional-17301</t>
  </si>
  <si>
    <t>CENSI</t>
  </si>
  <si>
    <t>http://www.censi.com.br/produto/detalhe/tubo-de-ligao-flexvel-para-bacias-sanitrias-2</t>
  </si>
  <si>
    <t>2360.E.BR</t>
  </si>
  <si>
    <t>https://www.deca.com.br/produto/assento-com-abertura-frontal-branco-2360ebr/</t>
  </si>
  <si>
    <t>1984 C41</t>
  </si>
  <si>
    <t>http://www.lorenzetti.com.br/pt/Detalhes_Produto.aspx?id=524</t>
  </si>
  <si>
    <t>MAXI DUCHA ULTRA</t>
  </si>
  <si>
    <t>http://www.lorenzetti.com.br/pt/Detalhes_Produto.aspx?id=258</t>
  </si>
  <si>
    <t>1990-VIS-R20</t>
  </si>
  <si>
    <t>http://www.fabrimar.com.br/produto/chuveiro-de-parede-viscaya-redondo-saida-20-cm?ambientes=2</t>
  </si>
  <si>
    <t>http://www.fabrimar.com.br/produto/ducha-para-box-regatta-com-desviador?ambientes=2</t>
  </si>
  <si>
    <t>2982 C16</t>
  </si>
  <si>
    <t>http://www.lorenzetti.com.br/pt/Detalhes_Produto.aspx?id=842</t>
  </si>
  <si>
    <t>MEBER</t>
  </si>
  <si>
    <t xml:space="preserve"> 2997-C-70</t>
  </si>
  <si>
    <t>http://meber.com.br/produtos/produto/monocomando-chuveiro-2997-c-70-3-4/</t>
  </si>
  <si>
    <t>JACUZZI</t>
  </si>
  <si>
    <t>SPAZIA 75</t>
  </si>
  <si>
    <t>http://www.jacuzzi.com.br/produto-detalhes/banheira-spazia-hidromassagem-individual/</t>
  </si>
  <si>
    <t>4900.C64</t>
  </si>
  <si>
    <t>https://www.deca.com.br/produto/acabamento-para-registro-de-gaveta-ate-1-cromado-4900c64pq/</t>
  </si>
  <si>
    <t>GTRES</t>
  </si>
  <si>
    <t>GQI10P</t>
  </si>
  <si>
    <t>http://gtres.ind.br/produtos/grelha-gqi10p/</t>
  </si>
  <si>
    <t>GQI15P</t>
  </si>
  <si>
    <t>http://gtres.ind.br/produtos/grelha-gqi15p/</t>
  </si>
  <si>
    <t>DOCOL</t>
  </si>
  <si>
    <t>https://www.docol.com.br/pt/produto/porta-toalhas-bastao-single</t>
  </si>
  <si>
    <t>https://www.docol.com.br/pt/produto/porta-toalhas-argola-single</t>
  </si>
  <si>
    <t>2060.C43</t>
  </si>
  <si>
    <t>http://www.lorenzetti.com.br/pt/Detalhes_Produto.aspx?id=408</t>
  </si>
  <si>
    <t>https://www.docol.com.br/pt/produto/papeleira-hotel</t>
  </si>
  <si>
    <t>2030.C43</t>
  </si>
  <si>
    <t>http://www.lorenzetti.com.br/pt/Detalhes_Produto.aspx?id=425</t>
  </si>
  <si>
    <t>-</t>
  </si>
  <si>
    <t>VILLAGE AP.18.17</t>
  </si>
  <si>
    <t>https://www.deca.com.br/produto/assento-poliester-com-microban-branco-cromado-ap1817/</t>
  </si>
  <si>
    <t>SANSPRAY</t>
  </si>
  <si>
    <t>DIGITAL</t>
  </si>
  <si>
    <t>http://www.sanspray.com.br/?p=YWxyb3RsaXMvenRlZHVyZUB6aHo/YWQ9NTY=</t>
  </si>
  <si>
    <t>SYLENT</t>
  </si>
  <si>
    <t>PF42E0313AS</t>
  </si>
  <si>
    <t>CATALOGO EM ANEXO</t>
  </si>
  <si>
    <t>http://floorest.com.br/pt/premiere/</t>
  </si>
  <si>
    <t>https://www.docol.com.br/pt/produto/misturador-para-cozinha-de-parede-1-2-quot-e-3-4-quot-pertutti</t>
  </si>
  <si>
    <t>ORÇAMENTO RCS TECNOLOGIA</t>
  </si>
  <si>
    <t>CNPJ: 08.220.952/0001-22</t>
  </si>
  <si>
    <t>http://www.lukscolor.com.br/produto/155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</si>
</sst>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\ ;\-#,##0.00\ ;&quot; -&quot;#\ ;@\ "/>
    <numFmt numFmtId="166" formatCode="&quot; R$ &quot;#,##0.00\ ;&quot; R$ (&quot;#,##0.00\);&quot; R$ -&quot;#\ ;@\ "/>
    <numFmt numFmtId="167" formatCode="_-* #,##0.00_-;\-* #,##0.00_-;_-* \-??_-;_-@_-"/>
    <numFmt numFmtId="168" formatCode="00"/>
    <numFmt numFmtId="169" formatCode="&quot;R$ &quot;#,##0_);[Red]\(&quot;R$ &quot;#,##0\)"/>
    <numFmt numFmtId="170" formatCode="_-&quot;R$ &quot;* #,##0.00_-;&quot;-R$ &quot;* #,##0.00_-;_-&quot;R$ &quot;* \-??_-;_-@_-"/>
    <numFmt numFmtId="171" formatCode="&quot;R$ &quot;#,##0_);&quot;(R$ &quot;#,##0\)"/>
    <numFmt numFmtId="172" formatCode="###0;###0"/>
    <numFmt numFmtId="173" formatCode="_(&quot;$&quot;* #,##0.00_);_(&quot;$&quot;* \(#,##0.00\);_(&quot;$&quot;* &quot;-&quot;??_);_(@_)"/>
    <numFmt numFmtId="174" formatCode="_-* #,##0.000000_-;\-* #,##0.000000_-;_-* &quot;-&quot;??_-;_-@_-"/>
  </numFmts>
  <fonts count="4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2"/>
      <color indexed="24"/>
      <name val="Arial"/>
      <family val="2"/>
    </font>
    <font>
      <sz val="10"/>
      <color indexed="8"/>
      <name val="MS Sans Serif"/>
      <family val="2"/>
    </font>
    <font>
      <sz val="10"/>
      <color rgb="FF000000"/>
      <name val="Times New Roman"/>
      <family val="1"/>
    </font>
    <font>
      <sz val="10"/>
      <color indexed="8"/>
      <name val="MS Sans Serif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D9D9D9"/>
      </patternFill>
    </fill>
    <fill>
      <patternFill patternType="solid">
        <fgColor theme="2" tint="-0.49998474074526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6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ill="0" applyBorder="0" applyAlignment="0" applyProtection="0"/>
    <xf numFmtId="165" fontId="3" fillId="0" borderId="0" applyFill="0" applyBorder="0" applyAlignment="0" applyProtection="0"/>
    <xf numFmtId="169" fontId="3" fillId="0" borderId="0" applyFill="0" applyBorder="0" applyAlignment="0" applyProtection="0"/>
    <xf numFmtId="171" fontId="3" fillId="0" borderId="0" applyFill="0" applyBorder="0" applyAlignment="0" applyProtection="0"/>
    <xf numFmtId="44" fontId="2" fillId="0" borderId="0" applyFont="0" applyFill="0" applyBorder="0" applyAlignment="0" applyProtection="0"/>
    <xf numFmtId="170" fontId="3" fillId="0" borderId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4" fontId="9" fillId="0" borderId="0">
      <alignment vertical="center" wrapText="1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4" fillId="0" borderId="0"/>
    <xf numFmtId="0" fontId="4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39" fontId="3" fillId="0" borderId="0" applyFill="0" applyBorder="0" applyAlignment="0" applyProtection="0"/>
    <xf numFmtId="168" fontId="3" fillId="0" borderId="0" applyFill="0" applyBorder="0" applyAlignment="0" applyProtection="0"/>
    <xf numFmtId="167" fontId="3" fillId="0" borderId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7" fillId="0" borderId="0" applyNumberFormat="0" applyFill="0" applyBorder="0" applyAlignment="0" applyProtection="0"/>
    <xf numFmtId="165" fontId="3" fillId="0" borderId="0" applyFill="0" applyBorder="0" applyAlignment="0" applyProtection="0"/>
    <xf numFmtId="167" fontId="3" fillId="0" borderId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4" fillId="5" borderId="0" applyNumberFormat="0" applyBorder="0" applyAlignment="0" applyProtection="0"/>
    <xf numFmtId="0" fontId="18" fillId="8" borderId="0" applyNumberFormat="0" applyBorder="0" applyAlignment="0" applyProtection="0"/>
    <xf numFmtId="0" fontId="15" fillId="24" borderId="13" applyNumberFormat="0" applyAlignment="0" applyProtection="0"/>
    <xf numFmtId="0" fontId="27" fillId="25" borderId="13" applyNumberFormat="0" applyAlignment="0" applyProtection="0"/>
    <xf numFmtId="0" fontId="16" fillId="26" borderId="14" applyNumberFormat="0" applyAlignment="0" applyProtection="0"/>
    <xf numFmtId="0" fontId="26" fillId="0" borderId="15" applyNumberFormat="0" applyFill="0" applyAlignment="0" applyProtection="0"/>
    <xf numFmtId="0" fontId="16" fillId="26" borderId="14" applyNumberFormat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13" fillId="28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21" fillId="15" borderId="13" applyNumberFormat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21" fillId="9" borderId="13" applyNumberFormat="0" applyAlignment="0" applyProtection="0"/>
    <xf numFmtId="0" fontId="22" fillId="0" borderId="19" applyNumberFormat="0" applyFill="0" applyAlignment="0" applyProtection="0"/>
    <xf numFmtId="173" fontId="3" fillId="0" borderId="0" applyFont="0" applyFill="0" applyBorder="0" applyAlignment="0" applyProtection="0"/>
    <xf numFmtId="0" fontId="28" fillId="15" borderId="0" applyNumberFormat="0" applyBorder="0" applyAlignment="0" applyProtection="0"/>
    <xf numFmtId="0" fontId="23" fillId="15" borderId="0" applyNumberFormat="0" applyBorder="0" applyAlignment="0" applyProtection="0"/>
    <xf numFmtId="0" fontId="2" fillId="0" borderId="0"/>
    <xf numFmtId="0" fontId="3" fillId="12" borderId="20" applyNumberFormat="0" applyFont="0" applyAlignment="0" applyProtection="0"/>
    <xf numFmtId="0" fontId="4" fillId="12" borderId="20" applyNumberFormat="0" applyFont="0" applyAlignment="0" applyProtection="0"/>
    <xf numFmtId="0" fontId="24" fillId="24" borderId="21" applyNumberFormat="0" applyAlignment="0" applyProtection="0"/>
    <xf numFmtId="0" fontId="24" fillId="25" borderId="21" applyNumberFormat="0" applyAlignment="0" applyProtection="0"/>
    <xf numFmtId="0" fontId="2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25" fillId="0" borderId="25" applyNumberFormat="0" applyFill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0" fontId="3" fillId="12" borderId="20" applyNumberFormat="0" applyFont="0" applyAlignment="0" applyProtection="0"/>
    <xf numFmtId="43" fontId="3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177">
    <xf numFmtId="0" fontId="0" fillId="0" borderId="0" xfId="0"/>
    <xf numFmtId="0" fontId="3" fillId="0" borderId="0" xfId="3"/>
    <xf numFmtId="0" fontId="3" fillId="0" borderId="0" xfId="3" applyFont="1"/>
    <xf numFmtId="44" fontId="3" fillId="0" borderId="0" xfId="2" applyNumberFormat="1" applyFont="1"/>
    <xf numFmtId="0" fontId="34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43" fontId="33" fillId="0" borderId="4" xfId="162" applyFont="1" applyBorder="1" applyAlignment="1">
      <alignment horizontal="center" vertical="center" wrapText="1"/>
    </xf>
    <xf numFmtId="43" fontId="33" fillId="0" borderId="3" xfId="162" applyFont="1" applyBorder="1" applyAlignment="1">
      <alignment horizontal="center" vertical="center" wrapText="1"/>
    </xf>
    <xf numFmtId="43" fontId="33" fillId="0" borderId="2" xfId="162" applyFont="1" applyBorder="1" applyAlignment="1">
      <alignment horizontal="right" vertical="center" wrapText="1"/>
    </xf>
    <xf numFmtId="0" fontId="34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43" fontId="33" fillId="0" borderId="26" xfId="162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3" fontId="34" fillId="0" borderId="0" xfId="162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 wrapText="1"/>
    </xf>
    <xf numFmtId="43" fontId="33" fillId="0" borderId="27" xfId="162" applyFont="1" applyBorder="1" applyAlignment="1">
      <alignment horizontal="center" vertical="center" wrapText="1"/>
    </xf>
    <xf numFmtId="43" fontId="35" fillId="3" borderId="3" xfId="162" applyFont="1" applyFill="1" applyBorder="1" applyAlignment="1">
      <alignment horizontal="center" vertical="center"/>
    </xf>
    <xf numFmtId="43" fontId="35" fillId="3" borderId="26" xfId="162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43" fontId="33" fillId="0" borderId="26" xfId="162" applyFont="1" applyBorder="1" applyAlignment="1">
      <alignment horizontal="right" vertical="center" wrapText="1"/>
    </xf>
    <xf numFmtId="0" fontId="33" fillId="0" borderId="3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43" fontId="33" fillId="0" borderId="28" xfId="162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3" fillId="0" borderId="26" xfId="0" applyFont="1" applyBorder="1" applyAlignment="1">
      <alignment horizontal="left" vertical="center" wrapText="1"/>
    </xf>
    <xf numFmtId="0" fontId="34" fillId="0" borderId="3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/>
    </xf>
    <xf numFmtId="43" fontId="33" fillId="0" borderId="35" xfId="162" applyFont="1" applyBorder="1" applyAlignment="1">
      <alignment horizontal="center" vertical="center" wrapText="1"/>
    </xf>
    <xf numFmtId="43" fontId="34" fillId="2" borderId="29" xfId="162" applyFont="1" applyFill="1" applyBorder="1" applyAlignment="1">
      <alignment horizontal="center" vertical="center"/>
    </xf>
    <xf numFmtId="43" fontId="33" fillId="0" borderId="35" xfId="162" applyFont="1" applyBorder="1" applyAlignment="1">
      <alignment horizontal="right" vertical="center" wrapText="1"/>
    </xf>
    <xf numFmtId="43" fontId="33" fillId="0" borderId="36" xfId="162" applyFont="1" applyBorder="1" applyAlignment="1">
      <alignment horizontal="center" vertical="center" wrapText="1"/>
    </xf>
    <xf numFmtId="43" fontId="34" fillId="2" borderId="26" xfId="162" applyFont="1" applyFill="1" applyBorder="1" applyAlignment="1">
      <alignment vertical="center"/>
    </xf>
    <xf numFmtId="0" fontId="34" fillId="0" borderId="34" xfId="0" applyFont="1" applyBorder="1" applyAlignment="1">
      <alignment horizontal="center" vertical="center"/>
    </xf>
    <xf numFmtId="43" fontId="34" fillId="2" borderId="36" xfId="162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26" xfId="0" applyFont="1" applyFill="1" applyBorder="1" applyAlignment="1">
      <alignment vertical="center" wrapText="1"/>
    </xf>
    <xf numFmtId="43" fontId="33" fillId="0" borderId="27" xfId="162" applyFont="1" applyBorder="1" applyAlignment="1">
      <alignment horizontal="right" vertical="center" wrapText="1"/>
    </xf>
    <xf numFmtId="0" fontId="35" fillId="3" borderId="26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left" vertical="center" wrapText="1"/>
    </xf>
    <xf numFmtId="43" fontId="33" fillId="0" borderId="34" xfId="162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43" fontId="33" fillId="0" borderId="5" xfId="162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43" fontId="34" fillId="2" borderId="5" xfId="162" applyFont="1" applyFill="1" applyBorder="1" applyAlignment="1">
      <alignment vertical="center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center" vertical="center" wrapText="1"/>
    </xf>
    <xf numFmtId="43" fontId="33" fillId="0" borderId="38" xfId="162" applyFont="1" applyBorder="1" applyAlignment="1">
      <alignment horizontal="right" vertical="center" wrapText="1"/>
    </xf>
    <xf numFmtId="43" fontId="33" fillId="0" borderId="38" xfId="162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43" fontId="33" fillId="0" borderId="40" xfId="162" applyFont="1" applyBorder="1" applyAlignment="1">
      <alignment horizontal="right" vertical="center" wrapText="1"/>
    </xf>
    <xf numFmtId="43" fontId="33" fillId="0" borderId="40" xfId="162" applyFont="1" applyBorder="1" applyAlignment="1">
      <alignment horizontal="center" vertical="center" wrapText="1"/>
    </xf>
    <xf numFmtId="43" fontId="33" fillId="0" borderId="5" xfId="162" applyFont="1" applyBorder="1" applyAlignment="1">
      <alignment horizontal="right" vertical="center" wrapText="1"/>
    </xf>
    <xf numFmtId="43" fontId="33" fillId="0" borderId="41" xfId="162" applyFont="1" applyBorder="1" applyAlignment="1">
      <alignment horizontal="right" vertical="center" wrapText="1"/>
    </xf>
    <xf numFmtId="0" fontId="34" fillId="0" borderId="40" xfId="0" applyFont="1" applyBorder="1" applyAlignment="1">
      <alignment horizontal="center" vertical="center"/>
    </xf>
    <xf numFmtId="0" fontId="33" fillId="0" borderId="40" xfId="0" applyFont="1" applyBorder="1" applyAlignment="1">
      <alignment horizontal="left" vertical="center" wrapText="1"/>
    </xf>
    <xf numFmtId="0" fontId="34" fillId="0" borderId="26" xfId="0" applyFont="1" applyFill="1" applyBorder="1" applyAlignment="1">
      <alignment horizontal="center" vertical="center"/>
    </xf>
    <xf numFmtId="43" fontId="34" fillId="0" borderId="26" xfId="162" applyFont="1" applyFill="1" applyBorder="1" applyAlignment="1">
      <alignment horizontal="center" vertical="center"/>
    </xf>
    <xf numFmtId="43" fontId="33" fillId="0" borderId="26" xfId="162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vertical="center" wrapText="1"/>
    </xf>
    <xf numFmtId="43" fontId="35" fillId="3" borderId="4" xfId="162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43" fontId="33" fillId="0" borderId="3" xfId="162" applyFont="1" applyFill="1" applyBorder="1" applyAlignment="1">
      <alignment horizontal="center" vertical="center" wrapText="1"/>
    </xf>
    <xf numFmtId="43" fontId="33" fillId="0" borderId="4" xfId="162" applyFont="1" applyFill="1" applyBorder="1" applyAlignment="1">
      <alignment horizontal="center" vertical="center" wrapText="1"/>
    </xf>
    <xf numFmtId="43" fontId="34" fillId="0" borderId="0" xfId="162" applyFont="1" applyAlignment="1">
      <alignment horizontal="center" vertical="center"/>
    </xf>
    <xf numFmtId="0" fontId="34" fillId="0" borderId="0" xfId="0" applyFont="1" applyAlignment="1">
      <alignment vertical="center"/>
    </xf>
    <xf numFmtId="43" fontId="34" fillId="0" borderId="26" xfId="162" applyFont="1" applyFill="1" applyBorder="1" applyAlignment="1">
      <alignment vertical="center"/>
    </xf>
    <xf numFmtId="43" fontId="34" fillId="2" borderId="35" xfId="162" applyFont="1" applyFill="1" applyBorder="1" applyAlignment="1">
      <alignment vertical="center"/>
    </xf>
    <xf numFmtId="0" fontId="33" fillId="0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left" vertical="center" wrapText="1"/>
    </xf>
    <xf numFmtId="43" fontId="34" fillId="0" borderId="5" xfId="162" applyFont="1" applyFill="1" applyBorder="1" applyAlignment="1">
      <alignment vertical="center"/>
    </xf>
    <xf numFmtId="43" fontId="33" fillId="0" borderId="5" xfId="162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left" vertical="center" wrapText="1"/>
    </xf>
    <xf numFmtId="43" fontId="34" fillId="0" borderId="35" xfId="162" applyFont="1" applyFill="1" applyBorder="1" applyAlignment="1">
      <alignment vertical="center"/>
    </xf>
    <xf numFmtId="43" fontId="33" fillId="0" borderId="35" xfId="162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43" fontId="33" fillId="0" borderId="26" xfId="162" applyFont="1" applyFill="1" applyBorder="1" applyAlignment="1">
      <alignment horizontal="right" vertical="center" wrapText="1"/>
    </xf>
    <xf numFmtId="43" fontId="33" fillId="0" borderId="42" xfId="162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43" fontId="34" fillId="2" borderId="43" xfId="162" applyFont="1" applyFill="1" applyBorder="1" applyAlignment="1">
      <alignment horizontal="center" vertical="center"/>
    </xf>
    <xf numFmtId="0" fontId="33" fillId="0" borderId="27" xfId="0" applyFont="1" applyBorder="1" applyAlignment="1">
      <alignment horizontal="left" vertical="center" wrapText="1"/>
    </xf>
    <xf numFmtId="43" fontId="34" fillId="0" borderId="0" xfId="162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43" fontId="34" fillId="2" borderId="27" xfId="162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2" fillId="30" borderId="3" xfId="0" applyFont="1" applyFill="1" applyBorder="1" applyAlignment="1">
      <alignment horizontal="center" vertical="center"/>
    </xf>
    <xf numFmtId="0" fontId="32" fillId="30" borderId="3" xfId="0" applyFont="1" applyFill="1" applyBorder="1" applyAlignment="1">
      <alignment horizontal="center" vertical="center" wrapText="1"/>
    </xf>
    <xf numFmtId="43" fontId="32" fillId="30" borderId="3" xfId="162" applyFont="1" applyFill="1" applyBorder="1" applyAlignment="1">
      <alignment horizontal="center" vertical="center"/>
    </xf>
    <xf numFmtId="43" fontId="32" fillId="30" borderId="4" xfId="162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36" fillId="3" borderId="27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left" vertical="center" wrapText="1"/>
    </xf>
    <xf numFmtId="43" fontId="35" fillId="3" borderId="43" xfId="162" applyFont="1" applyFill="1" applyBorder="1" applyAlignment="1">
      <alignment horizontal="center" vertical="center"/>
    </xf>
    <xf numFmtId="43" fontId="36" fillId="3" borderId="27" xfId="162" applyFont="1" applyFill="1" applyBorder="1" applyAlignment="1">
      <alignment horizontal="center" vertical="center" wrapText="1"/>
    </xf>
    <xf numFmtId="43" fontId="32" fillId="30" borderId="43" xfId="162" applyFont="1" applyFill="1" applyBorder="1" applyAlignment="1">
      <alignment horizontal="center" vertical="center"/>
    </xf>
    <xf numFmtId="43" fontId="34" fillId="0" borderId="43" xfId="162" applyFont="1" applyFill="1" applyBorder="1" applyAlignment="1">
      <alignment horizontal="center" vertical="center"/>
    </xf>
    <xf numFmtId="43" fontId="35" fillId="3" borderId="27" xfId="162" applyFont="1" applyFill="1" applyBorder="1" applyAlignment="1">
      <alignment vertical="center"/>
    </xf>
    <xf numFmtId="0" fontId="34" fillId="0" borderId="27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left" vertical="center" wrapText="1"/>
    </xf>
    <xf numFmtId="174" fontId="34" fillId="0" borderId="27" xfId="162" applyNumberFormat="1" applyFont="1" applyFill="1" applyBorder="1" applyAlignment="1">
      <alignment vertical="center"/>
    </xf>
    <xf numFmtId="43" fontId="33" fillId="0" borderId="43" xfId="162" applyFont="1" applyFill="1" applyBorder="1" applyAlignment="1">
      <alignment horizontal="center" vertical="center" wrapText="1"/>
    </xf>
    <xf numFmtId="43" fontId="33" fillId="0" borderId="2" xfId="162" applyFont="1" applyFill="1" applyBorder="1" applyAlignment="1">
      <alignment horizontal="right" vertical="center" wrapText="1"/>
    </xf>
    <xf numFmtId="43" fontId="33" fillId="0" borderId="2" xfId="162" applyFont="1" applyFill="1" applyBorder="1" applyAlignment="1">
      <alignment horizontal="center" vertical="center" wrapText="1"/>
    </xf>
    <xf numFmtId="43" fontId="34" fillId="2" borderId="34" xfId="162" applyFont="1" applyFill="1" applyBorder="1" applyAlignment="1">
      <alignment vertical="center"/>
    </xf>
    <xf numFmtId="43" fontId="34" fillId="2" borderId="0" xfId="162" applyFont="1" applyFill="1" applyBorder="1" applyAlignment="1">
      <alignment vertical="center"/>
    </xf>
    <xf numFmtId="43" fontId="34" fillId="2" borderId="28" xfId="162" applyFont="1" applyFill="1" applyBorder="1" applyAlignment="1">
      <alignment vertical="center"/>
    </xf>
    <xf numFmtId="43" fontId="34" fillId="2" borderId="40" xfId="162" applyFont="1" applyFill="1" applyBorder="1" applyAlignment="1">
      <alignment vertical="center"/>
    </xf>
    <xf numFmtId="43" fontId="35" fillId="0" borderId="0" xfId="162" applyFont="1" applyFill="1" applyBorder="1" applyAlignment="1">
      <alignment vertical="center"/>
    </xf>
    <xf numFmtId="43" fontId="37" fillId="0" borderId="0" xfId="162" applyFont="1" applyFill="1" applyBorder="1" applyAlignment="1">
      <alignment vertical="center"/>
    </xf>
    <xf numFmtId="44" fontId="0" fillId="0" borderId="0" xfId="2" applyFont="1"/>
    <xf numFmtId="0" fontId="39" fillId="0" borderId="0" xfId="160" applyFont="1" applyFill="1" applyBorder="1" applyAlignment="1">
      <alignment horizontal="left" vertical="center"/>
    </xf>
    <xf numFmtId="0" fontId="33" fillId="0" borderId="0" xfId="160" applyFont="1" applyFill="1" applyBorder="1" applyAlignment="1">
      <alignment horizontal="center" vertical="center"/>
    </xf>
    <xf numFmtId="43" fontId="33" fillId="0" borderId="0" xfId="162" applyFont="1" applyFill="1" applyBorder="1" applyAlignment="1">
      <alignment horizontal="center" vertical="center"/>
    </xf>
    <xf numFmtId="0" fontId="40" fillId="0" borderId="0" xfId="160" applyFont="1" applyFill="1" applyBorder="1" applyAlignment="1">
      <alignment horizontal="left" vertical="center"/>
    </xf>
    <xf numFmtId="0" fontId="39" fillId="29" borderId="9" xfId="160" applyFont="1" applyFill="1" applyBorder="1" applyAlignment="1">
      <alignment horizontal="center" vertical="center"/>
    </xf>
    <xf numFmtId="43" fontId="39" fillId="29" borderId="9" xfId="162" applyFont="1" applyFill="1" applyBorder="1" applyAlignment="1">
      <alignment horizontal="center" vertical="center"/>
    </xf>
    <xf numFmtId="0" fontId="33" fillId="0" borderId="11" xfId="160" applyFont="1" applyFill="1" applyBorder="1" applyAlignment="1">
      <alignment horizontal="center" vertical="center"/>
    </xf>
    <xf numFmtId="43" fontId="33" fillId="0" borderId="11" xfId="162" applyFont="1" applyFill="1" applyBorder="1" applyAlignment="1">
      <alignment horizontal="center" vertical="center"/>
    </xf>
    <xf numFmtId="43" fontId="33" fillId="0" borderId="12" xfId="162" applyFont="1" applyFill="1" applyBorder="1" applyAlignment="1">
      <alignment horizontal="center" vertical="center"/>
    </xf>
    <xf numFmtId="172" fontId="33" fillId="0" borderId="9" xfId="160" applyNumberFormat="1" applyFont="1" applyFill="1" applyBorder="1" applyAlignment="1">
      <alignment horizontal="center" vertical="center"/>
    </xf>
    <xf numFmtId="0" fontId="40" fillId="0" borderId="9" xfId="160" applyFont="1" applyFill="1" applyBorder="1" applyAlignment="1">
      <alignment horizontal="center" vertical="center"/>
    </xf>
    <xf numFmtId="43" fontId="33" fillId="0" borderId="9" xfId="162" applyFont="1" applyFill="1" applyBorder="1" applyAlignment="1">
      <alignment horizontal="center" vertical="center"/>
    </xf>
    <xf numFmtId="0" fontId="39" fillId="0" borderId="10" xfId="160" applyFont="1" applyFill="1" applyBorder="1" applyAlignment="1">
      <alignment horizontal="center" vertical="center"/>
    </xf>
    <xf numFmtId="0" fontId="39" fillId="0" borderId="11" xfId="160" applyFont="1" applyFill="1" applyBorder="1" applyAlignment="1">
      <alignment horizontal="center" vertical="center"/>
    </xf>
    <xf numFmtId="43" fontId="39" fillId="0" borderId="11" xfId="162" applyFont="1" applyFill="1" applyBorder="1" applyAlignment="1">
      <alignment horizontal="center" vertical="center"/>
    </xf>
    <xf numFmtId="43" fontId="39" fillId="0" borderId="12" xfId="162" applyFont="1" applyFill="1" applyBorder="1" applyAlignment="1">
      <alignment horizontal="center" vertical="center"/>
    </xf>
    <xf numFmtId="0" fontId="33" fillId="29" borderId="9" xfId="160" applyFont="1" applyFill="1" applyBorder="1" applyAlignment="1">
      <alignment horizontal="center" vertical="center" wrapText="1"/>
    </xf>
    <xf numFmtId="0" fontId="39" fillId="0" borderId="9" xfId="160" applyFont="1" applyFill="1" applyBorder="1" applyAlignment="1">
      <alignment horizontal="center" vertical="center" wrapText="1"/>
    </xf>
    <xf numFmtId="0" fontId="33" fillId="0" borderId="0" xfId="160" applyFont="1" applyFill="1" applyBorder="1" applyAlignment="1">
      <alignment horizontal="left" vertical="center" wrapText="1"/>
    </xf>
    <xf numFmtId="0" fontId="39" fillId="29" borderId="10" xfId="160" applyFont="1" applyFill="1" applyBorder="1" applyAlignment="1">
      <alignment horizontal="center" vertical="center" wrapText="1"/>
    </xf>
    <xf numFmtId="0" fontId="33" fillId="0" borderId="10" xfId="160" applyFont="1" applyFill="1" applyBorder="1" applyAlignment="1">
      <alignment vertical="center" wrapText="1"/>
    </xf>
    <xf numFmtId="0" fontId="40" fillId="0" borderId="10" xfId="160" applyFont="1" applyFill="1" applyBorder="1" applyAlignment="1">
      <alignment vertical="center" wrapText="1"/>
    </xf>
    <xf numFmtId="0" fontId="39" fillId="0" borderId="10" xfId="160" applyFont="1" applyFill="1" applyBorder="1" applyAlignment="1">
      <alignment vertical="center" wrapText="1"/>
    </xf>
    <xf numFmtId="0" fontId="40" fillId="0" borderId="10" xfId="160" applyFont="1" applyFill="1" applyBorder="1" applyAlignment="1">
      <alignment horizontal="center" vertical="center" wrapText="1"/>
    </xf>
    <xf numFmtId="0" fontId="33" fillId="0" borderId="0" xfId="160" applyFont="1" applyFill="1" applyBorder="1" applyAlignment="1">
      <alignment horizontal="center" vertical="center" wrapText="1"/>
    </xf>
    <xf numFmtId="0" fontId="33" fillId="0" borderId="11" xfId="160" applyFont="1" applyFill="1" applyBorder="1" applyAlignment="1">
      <alignment horizontal="center" vertical="center" wrapText="1"/>
    </xf>
    <xf numFmtId="0" fontId="33" fillId="0" borderId="10" xfId="160" applyFont="1" applyFill="1" applyBorder="1" applyAlignment="1">
      <alignment horizontal="center" vertical="center" wrapText="1"/>
    </xf>
    <xf numFmtId="0" fontId="39" fillId="0" borderId="11" xfId="16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72" fontId="34" fillId="0" borderId="9" xfId="160" applyNumberFormat="1" applyFont="1" applyFill="1" applyBorder="1" applyAlignment="1">
      <alignment horizontal="center" vertical="center"/>
    </xf>
    <xf numFmtId="0" fontId="34" fillId="0" borderId="10" xfId="160" applyFont="1" applyFill="1" applyBorder="1" applyAlignment="1">
      <alignment vertical="center" wrapText="1"/>
    </xf>
    <xf numFmtId="0" fontId="34" fillId="0" borderId="10" xfId="160" applyFont="1" applyFill="1" applyBorder="1" applyAlignment="1">
      <alignment horizontal="center" vertical="center" wrapText="1"/>
    </xf>
    <xf numFmtId="43" fontId="34" fillId="0" borderId="0" xfId="0" applyNumberFormat="1" applyFont="1" applyAlignment="1">
      <alignment vertical="center"/>
    </xf>
    <xf numFmtId="0" fontId="33" fillId="0" borderId="11" xfId="160" applyFont="1" applyFill="1" applyBorder="1" applyAlignment="1">
      <alignment vertical="center" wrapText="1"/>
    </xf>
    <xf numFmtId="0" fontId="41" fillId="0" borderId="10" xfId="163" applyFont="1" applyFill="1" applyBorder="1" applyAlignment="1">
      <alignment vertical="center" wrapText="1"/>
    </xf>
    <xf numFmtId="0" fontId="38" fillId="0" borderId="10" xfId="163" applyFill="1" applyBorder="1" applyAlignment="1">
      <alignment vertical="center" wrapText="1"/>
    </xf>
    <xf numFmtId="0" fontId="39" fillId="0" borderId="11" xfId="160" applyFont="1" applyFill="1" applyBorder="1" applyAlignment="1">
      <alignment vertical="center" wrapText="1"/>
    </xf>
  </cellXfs>
  <cellStyles count="164"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Ênfase1 2" xfId="79"/>
    <cellStyle name="20% - Ênfase2 2" xfId="80"/>
    <cellStyle name="20% - Ênfase3 2" xfId="81"/>
    <cellStyle name="20% - Ênfase4 2" xfId="82"/>
    <cellStyle name="20% - Ênfase5 2" xfId="83"/>
    <cellStyle name="20% - Ênfase6 2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40% - Ênfase1 2" xfId="91"/>
    <cellStyle name="40% - Ênfase2 2" xfId="92"/>
    <cellStyle name="40% - Ênfase3 2" xfId="93"/>
    <cellStyle name="40% - Ênfase4 2" xfId="94"/>
    <cellStyle name="40% - Ênfase5 2" xfId="95"/>
    <cellStyle name="40% - Ênfase6 2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Ênfase1 2" xfId="103"/>
    <cellStyle name="60% - Ênfase2 2" xfId="104"/>
    <cellStyle name="60% - Ênfase3 2" xfId="105"/>
    <cellStyle name="60% - Ênfase4 2" xfId="106"/>
    <cellStyle name="60% - Ênfase5 2" xfId="107"/>
    <cellStyle name="60% - Ênfase6 2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ad" xfId="115"/>
    <cellStyle name="Bom 2" xfId="116"/>
    <cellStyle name="Calculation" xfId="117"/>
    <cellStyle name="Cálculo 2" xfId="118"/>
    <cellStyle name="Cancel 2 2" xfId="4"/>
    <cellStyle name="Célula de Verificação 2" xfId="119"/>
    <cellStyle name="Célula Vinculada 2" xfId="120"/>
    <cellStyle name="Check Cell" xfId="121"/>
    <cellStyle name="Ênfase1 2" xfId="122"/>
    <cellStyle name="Ênfase2 2" xfId="123"/>
    <cellStyle name="Ênfase3 2" xfId="124"/>
    <cellStyle name="Ênfase4 2" xfId="125"/>
    <cellStyle name="Ênfase5 2" xfId="126"/>
    <cellStyle name="Ênfase6 2" xfId="127"/>
    <cellStyle name="Entrada 2" xfId="128"/>
    <cellStyle name="Excel Built-in Normal" xfId="5"/>
    <cellStyle name="Excel Built-in Normal 2" xfId="129"/>
    <cellStyle name="Explanatory Text" xfId="130"/>
    <cellStyle name="Good" xfId="131"/>
    <cellStyle name="Heading 1" xfId="132"/>
    <cellStyle name="Heading 2" xfId="133"/>
    <cellStyle name="Heading 3" xfId="134"/>
    <cellStyle name="Heading 4" xfId="135"/>
    <cellStyle name="Hiperlink" xfId="163" builtinId="8"/>
    <cellStyle name="Incorreto 2" xfId="136"/>
    <cellStyle name="Input" xfId="137"/>
    <cellStyle name="Linked Cell" xfId="138"/>
    <cellStyle name="Moeda" xfId="2" builtinId="4"/>
    <cellStyle name="Moeda 2" xfId="7"/>
    <cellStyle name="Moeda 2 2" xfId="8"/>
    <cellStyle name="Moeda 2 2 2" xfId="9"/>
    <cellStyle name="Moeda 3" xfId="10"/>
    <cellStyle name="Moeda 3 2" xfId="11"/>
    <cellStyle name="Moeda 3 3" xfId="139"/>
    <cellStyle name="Moeda 4" xfId="12"/>
    <cellStyle name="Moeda 4 2" xfId="157"/>
    <cellStyle name="Moeda 5" xfId="6"/>
    <cellStyle name="Moeda 6" xfId="161"/>
    <cellStyle name="Neutra 2" xfId="140"/>
    <cellStyle name="Neutral" xfId="141"/>
    <cellStyle name="Normal" xfId="0" builtinId="0"/>
    <cellStyle name="Normal 10" xfId="160"/>
    <cellStyle name="Normal 2" xfId="1"/>
    <cellStyle name="Normal 2 2" xfId="14"/>
    <cellStyle name="Normal 2 2 2" xfId="15"/>
    <cellStyle name="Normal 2 3" xfId="69"/>
    <cellStyle name="Normal 2 4" xfId="13"/>
    <cellStyle name="Normal 3" xfId="16"/>
    <cellStyle name="Normal 3 2" xfId="70"/>
    <cellStyle name="Normal 4" xfId="17"/>
    <cellStyle name="Normal 4 2" xfId="18"/>
    <cellStyle name="Normal 4 3" xfId="71"/>
    <cellStyle name="Normal 5" xfId="19"/>
    <cellStyle name="Normal 5 2" xfId="142"/>
    <cellStyle name="Normal 5 3" xfId="72"/>
    <cellStyle name="Normal 6" xfId="20"/>
    <cellStyle name="Normal 7" xfId="21"/>
    <cellStyle name="Normal 8" xfId="65"/>
    <cellStyle name="Normal 9" xfId="3"/>
    <cellStyle name="Nota 2" xfId="143"/>
    <cellStyle name="Nota 3" xfId="158"/>
    <cellStyle name="Nota 34" xfId="22"/>
    <cellStyle name="Nota 34 2" xfId="23"/>
    <cellStyle name="Nota 34 3" xfId="68"/>
    <cellStyle name="Note" xfId="144"/>
    <cellStyle name="Output" xfId="145"/>
    <cellStyle name="Porcentagem 2" xfId="25"/>
    <cellStyle name="Porcentagem 3" xfId="26"/>
    <cellStyle name="Porcentagem 3 2" xfId="27"/>
    <cellStyle name="Porcentagem 4" xfId="28"/>
    <cellStyle name="Porcentagem 5" xfId="66"/>
    <cellStyle name="Porcentagem 6" xfId="24"/>
    <cellStyle name="Saída 2" xfId="146"/>
    <cellStyle name="Separador de milhares 2" xfId="29"/>
    <cellStyle name="Separador de milhares 3" xfId="30"/>
    <cellStyle name="Separador de milhares 4" xfId="31"/>
    <cellStyle name="Texto de Aviso 2" xfId="147"/>
    <cellStyle name="Texto Explicativo 2" xfId="148"/>
    <cellStyle name="Title" xfId="149"/>
    <cellStyle name="Título 1 1" xfId="32"/>
    <cellStyle name="Título 1 1 1" xfId="33"/>
    <cellStyle name="Título 1 1 1 1" xfId="34"/>
    <cellStyle name="Título 1 1 1 1 1" xfId="35"/>
    <cellStyle name="Título 1 1 1 1 1 1" xfId="36"/>
    <cellStyle name="Título 1 1 1 1 1 1 1" xfId="37"/>
    <cellStyle name="Título 1 1 1 1 1 1 1 1" xfId="38"/>
    <cellStyle name="Título 1 1 1 1 1 1 1 1 1" xfId="39"/>
    <cellStyle name="Título 1 1 1 1 1 1 1 1 1 1" xfId="40"/>
    <cellStyle name="Título 1 1 1 1 1 1 1 1 1 1 1" xfId="41"/>
    <cellStyle name="Título 1 1 1 1 1 1 1 1 1 1 1 1" xfId="42"/>
    <cellStyle name="Título 1 1 1 1 1 1 1 1 1 1 1 1 1" xfId="43"/>
    <cellStyle name="Título 1 1 1 1 1 1 1 1 1 1 1 1 1 1" xfId="44"/>
    <cellStyle name="Título 1 1 1 1 1 1 1 1 1 1 1 1 1 1 1" xfId="45"/>
    <cellStyle name="Título 1 1 1 1 1 1 1 1 1 1 1 1 1 1 1 1" xfId="46"/>
    <cellStyle name="Título 1 1 1 1 1 1 1 1 1 1 1 1 1 1 1 1 1" xfId="47"/>
    <cellStyle name="Título 1 1 1 1 1 1 1 1 1 1 1 1 1 1 1 1 1 1" xfId="48"/>
    <cellStyle name="Título 1 1 1 1 1 1 1 1 1 1 1 1 1 1 1 1 1 1 1" xfId="49"/>
    <cellStyle name="Título 1 1 1 1 1 1 1 1 1 1 1 1 1 1 1 1 1 1 1 1" xfId="50"/>
    <cellStyle name="Título 1 1 1 1 1 1 1 1 1 1 1 1 1 1 1 1 1 1 1 1 1" xfId="51"/>
    <cellStyle name="Título 1 1 1 1 1 1 1 1 1 1 1 1 1 1 1 1 1 1 1 1 1 1" xfId="52"/>
    <cellStyle name="Título 1 1 1 1 1 1 1 1 1 1 1 1 1 1 1 1 1 1 1 1 1 1 1" xfId="53"/>
    <cellStyle name="Título 1 1 1 1 1 1 1 1 1 1 1 1 1 1 1 1 1 1 1 1 1 1 1 1" xfId="54"/>
    <cellStyle name="Título 1 1 1 1 1 1 1 1 1 1 1 1 1 1 1 1 1 1 1 1 1 1 1 1 1" xfId="55"/>
    <cellStyle name="Título 1 1 1 1 1 1 1 1 1 1 1 1 1 1 1 1 1 1 1 1 1 1 1 1 1 1" xfId="56"/>
    <cellStyle name="Título 1 1 1 1 1 1 1 1 1 1 1 1 1 1 1 1 1 1 1 1 1 1 1 1 1 1 1" xfId="57"/>
    <cellStyle name="Título 1 1 1 1 1 1 1 1 1 1 1 1 1 1 1 1 1 1 1 1 1 1 1 1 1 1 1 1" xfId="58"/>
    <cellStyle name="Título 1 1 1 1 1 1 1 1 1 1 1 1 1 1 1 1 1 1 1 1 1 1 1 1 1 1 1 1 1" xfId="59"/>
    <cellStyle name="Título 1 1 1 1 1 2" xfId="60"/>
    <cellStyle name="Título 1 1 1 1 2" xfId="61"/>
    <cellStyle name="Título 1 2" xfId="150"/>
    <cellStyle name="Título 2 2" xfId="151"/>
    <cellStyle name="Título 3 2" xfId="152"/>
    <cellStyle name="Título 4 2" xfId="153"/>
    <cellStyle name="Total 2" xfId="154"/>
    <cellStyle name="Vírgula" xfId="162" builtinId="3"/>
    <cellStyle name="Vírgula 2" xfId="63"/>
    <cellStyle name="Vírgula 3" xfId="64"/>
    <cellStyle name="Vírgula 3 2" xfId="155"/>
    <cellStyle name="Vírgula 4" xfId="67"/>
    <cellStyle name="Vírgula 4 2" xfId="159"/>
    <cellStyle name="Vírgula 5" xfId="62"/>
    <cellStyle name="Warning Text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1</xdr:row>
      <xdr:rowOff>63500</xdr:rowOff>
    </xdr:from>
    <xdr:to>
      <xdr:col>0</xdr:col>
      <xdr:colOff>1120745</xdr:colOff>
      <xdr:row>5</xdr:row>
      <xdr:rowOff>142875</xdr:rowOff>
    </xdr:to>
    <xdr:pic>
      <xdr:nvPicPr>
        <xdr:cNvPr id="2" name="Imagem 1" descr="GrupoRC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222250"/>
          <a:ext cx="94612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79376</xdr:colOff>
      <xdr:row>1</xdr:row>
      <xdr:rowOff>69851</xdr:rowOff>
    </xdr:from>
    <xdr:to>
      <xdr:col>8</xdr:col>
      <xdr:colOff>836598</xdr:colOff>
      <xdr:row>6</xdr:row>
      <xdr:rowOff>12700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876" y="228601"/>
          <a:ext cx="757222" cy="73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ukscolor.com.br/produto/155" TargetMode="External"/><Relationship Id="rId3" Type="http://schemas.openxmlformats.org/officeDocument/2006/relationships/hyperlink" Target="http://www.resicolor.com.br/pt-br/produto/demarcacao-viaria-95" TargetMode="External"/><Relationship Id="rId7" Type="http://schemas.openxmlformats.org/officeDocument/2006/relationships/hyperlink" Target="http://www.lukscolor.com.br/produto/155" TargetMode="External"/><Relationship Id="rId2" Type="http://schemas.openxmlformats.org/officeDocument/2006/relationships/hyperlink" Target="https://www.sherwin-williams.com.br/produto-detalhe/novacor-piso-ultra" TargetMode="External"/><Relationship Id="rId1" Type="http://schemas.openxmlformats.org/officeDocument/2006/relationships/hyperlink" Target="http://www.sayerlack.com.br/produtos/tingidor-concentrado/" TargetMode="External"/><Relationship Id="rId6" Type="http://schemas.openxmlformats.org/officeDocument/2006/relationships/hyperlink" Target="http://www.lukscolor.com.br/produto/155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suvinil.com.br/pt/produtos/26/suvinil-maritimo.asp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sherwin-williams.com.br/produto-detalhe/epoxi-base-agua" TargetMode="External"/><Relationship Id="rId9" Type="http://schemas.openxmlformats.org/officeDocument/2006/relationships/hyperlink" Target="http://www.lukscolor.com.br/produto/1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showGridLines="0" tabSelected="1" view="pageBreakPreview" zoomScaleNormal="100" zoomScaleSheetLayoutView="100" workbookViewId="0">
      <pane ySplit="8" topLeftCell="A121" activePane="bottomLeft" state="frozen"/>
      <selection pane="bottomLeft" activeCell="B142" sqref="B142"/>
    </sheetView>
  </sheetViews>
  <sheetFormatPr defaultColWidth="9.109375" defaultRowHeight="13.8" x14ac:dyDescent="0.3"/>
  <cols>
    <col min="1" max="1" width="19.88671875" style="4" customWidth="1"/>
    <col min="2" max="2" width="61" style="48" customWidth="1"/>
    <col min="3" max="3" width="11.5546875" style="168" bestFit="1" customWidth="1"/>
    <col min="4" max="4" width="12.88671875" style="168" bestFit="1" customWidth="1"/>
    <col min="5" max="5" width="27.88671875" style="48" customWidth="1"/>
    <col min="6" max="6" width="9.109375" style="4"/>
    <col min="7" max="7" width="14.109375" style="86" bestFit="1" customWidth="1"/>
    <col min="8" max="8" width="18.109375" style="86" bestFit="1" customWidth="1"/>
    <col min="9" max="9" width="14.6640625" style="86" bestFit="1" customWidth="1"/>
    <col min="10" max="16384" width="9.109375" style="87"/>
  </cols>
  <sheetData>
    <row r="1" spans="1:9" x14ac:dyDescent="0.3">
      <c r="B1" s="140" t="s">
        <v>85</v>
      </c>
      <c r="C1" s="164"/>
      <c r="D1" s="164"/>
      <c r="E1" s="158"/>
      <c r="F1" s="141"/>
      <c r="G1" s="142"/>
      <c r="H1" s="142"/>
      <c r="I1" s="142"/>
    </row>
    <row r="2" spans="1:9" x14ac:dyDescent="0.3">
      <c r="B2" s="140" t="s">
        <v>86</v>
      </c>
      <c r="C2" s="164"/>
      <c r="D2" s="164"/>
      <c r="E2" s="158"/>
      <c r="F2" s="141"/>
      <c r="G2" s="142"/>
      <c r="H2" s="142"/>
      <c r="I2" s="142"/>
    </row>
    <row r="3" spans="1:9" x14ac:dyDescent="0.3">
      <c r="B3" s="140" t="s">
        <v>87</v>
      </c>
      <c r="C3" s="164"/>
      <c r="D3" s="164"/>
      <c r="E3" s="158"/>
      <c r="F3" s="141"/>
      <c r="G3" s="142"/>
      <c r="H3" s="142"/>
      <c r="I3" s="142"/>
    </row>
    <row r="4" spans="1:9" x14ac:dyDescent="0.3">
      <c r="B4" s="143" t="s">
        <v>88</v>
      </c>
      <c r="C4" s="164"/>
      <c r="D4" s="164"/>
      <c r="E4" s="158"/>
      <c r="F4" s="141"/>
      <c r="G4" s="142"/>
      <c r="H4" s="142"/>
      <c r="I4" s="142"/>
    </row>
    <row r="5" spans="1:9" x14ac:dyDescent="0.3">
      <c r="B5" s="140" t="s">
        <v>89</v>
      </c>
      <c r="C5" s="164"/>
      <c r="D5" s="164"/>
      <c r="E5" s="158"/>
      <c r="F5" s="141"/>
      <c r="G5" s="142"/>
      <c r="H5" s="142"/>
      <c r="I5" s="142"/>
    </row>
    <row r="6" spans="1:9" x14ac:dyDescent="0.3">
      <c r="B6" s="140" t="s">
        <v>447</v>
      </c>
      <c r="C6" s="164"/>
      <c r="D6" s="164"/>
      <c r="E6" s="158"/>
      <c r="F6" s="141"/>
      <c r="G6" s="142"/>
      <c r="H6" s="142"/>
      <c r="I6" s="142"/>
    </row>
    <row r="7" spans="1:9" x14ac:dyDescent="0.3">
      <c r="A7" s="140"/>
      <c r="B7" s="158" t="s">
        <v>448</v>
      </c>
      <c r="C7" s="164"/>
      <c r="D7" s="164"/>
      <c r="E7" s="158"/>
      <c r="F7" s="141"/>
      <c r="G7" s="142"/>
      <c r="H7" s="142"/>
      <c r="I7" s="142"/>
    </row>
    <row r="8" spans="1:9" s="4" customFormat="1" x14ac:dyDescent="0.3">
      <c r="A8" s="156" t="s">
        <v>281</v>
      </c>
      <c r="B8" s="159" t="s">
        <v>90</v>
      </c>
      <c r="C8" s="159" t="s">
        <v>273</v>
      </c>
      <c r="D8" s="159" t="s">
        <v>274</v>
      </c>
      <c r="E8" s="159" t="s">
        <v>275</v>
      </c>
      <c r="F8" s="144" t="s">
        <v>6</v>
      </c>
      <c r="G8" s="145" t="s">
        <v>197</v>
      </c>
      <c r="H8" s="145" t="s">
        <v>196</v>
      </c>
      <c r="I8" s="145" t="s">
        <v>198</v>
      </c>
    </row>
    <row r="9" spans="1:9" ht="55.5" customHeight="1" x14ac:dyDescent="0.3">
      <c r="A9" s="157" t="s">
        <v>305</v>
      </c>
      <c r="B9" s="160" t="s">
        <v>282</v>
      </c>
      <c r="C9" s="165"/>
      <c r="D9" s="165"/>
      <c r="E9" s="173"/>
      <c r="F9" s="146"/>
      <c r="G9" s="147"/>
      <c r="H9" s="147"/>
      <c r="I9" s="148"/>
    </row>
    <row r="10" spans="1:9" ht="41.4" x14ac:dyDescent="0.3">
      <c r="A10" s="149">
        <v>1</v>
      </c>
      <c r="B10" s="161" t="s">
        <v>91</v>
      </c>
      <c r="C10" s="163"/>
      <c r="D10" s="163"/>
      <c r="E10" s="161"/>
      <c r="F10" s="150" t="s">
        <v>1</v>
      </c>
      <c r="G10" s="151">
        <v>220</v>
      </c>
      <c r="H10" s="151">
        <v>79.97</v>
      </c>
      <c r="I10" s="151">
        <f t="shared" ref="I10:I41" si="0">G10*H10</f>
        <v>17593.400000000001</v>
      </c>
    </row>
    <row r="11" spans="1:9" ht="27.6" x14ac:dyDescent="0.3">
      <c r="A11" s="149">
        <v>2</v>
      </c>
      <c r="B11" s="160" t="s">
        <v>283</v>
      </c>
      <c r="C11" s="166"/>
      <c r="D11" s="166"/>
      <c r="E11" s="160"/>
      <c r="F11" s="150" t="s">
        <v>80</v>
      </c>
      <c r="G11" s="151">
        <v>2</v>
      </c>
      <c r="H11" s="151">
        <v>603.05999999999995</v>
      </c>
      <c r="I11" s="151">
        <f t="shared" si="0"/>
        <v>1206.1199999999999</v>
      </c>
    </row>
    <row r="12" spans="1:9" ht="27.6" x14ac:dyDescent="0.3">
      <c r="A12" s="149">
        <v>3</v>
      </c>
      <c r="B12" s="160" t="s">
        <v>284</v>
      </c>
      <c r="C12" s="166"/>
      <c r="D12" s="166"/>
      <c r="E12" s="160"/>
      <c r="F12" s="150" t="s">
        <v>80</v>
      </c>
      <c r="G12" s="151">
        <v>3</v>
      </c>
      <c r="H12" s="151">
        <v>642.94000000000005</v>
      </c>
      <c r="I12" s="151">
        <f t="shared" si="0"/>
        <v>1928.8200000000002</v>
      </c>
    </row>
    <row r="13" spans="1:9" ht="27.6" x14ac:dyDescent="0.3">
      <c r="A13" s="149">
        <v>4</v>
      </c>
      <c r="B13" s="160" t="s">
        <v>285</v>
      </c>
      <c r="C13" s="166"/>
      <c r="D13" s="166"/>
      <c r="E13" s="160"/>
      <c r="F13" s="150" t="s">
        <v>80</v>
      </c>
      <c r="G13" s="151">
        <v>4</v>
      </c>
      <c r="H13" s="151">
        <v>666.44</v>
      </c>
      <c r="I13" s="151">
        <f t="shared" si="0"/>
        <v>2665.76</v>
      </c>
    </row>
    <row r="14" spans="1:9" ht="41.4" x14ac:dyDescent="0.3">
      <c r="A14" s="149">
        <v>5</v>
      </c>
      <c r="B14" s="161" t="s">
        <v>92</v>
      </c>
      <c r="C14" s="163"/>
      <c r="D14" s="163"/>
      <c r="E14" s="161"/>
      <c r="F14" s="150" t="s">
        <v>80</v>
      </c>
      <c r="G14" s="151">
        <v>1</v>
      </c>
      <c r="H14" s="151">
        <v>1070.98</v>
      </c>
      <c r="I14" s="151">
        <f t="shared" si="0"/>
        <v>1070.98</v>
      </c>
    </row>
    <row r="15" spans="1:9" ht="41.4" x14ac:dyDescent="0.3">
      <c r="A15" s="149">
        <v>6</v>
      </c>
      <c r="B15" s="161" t="s">
        <v>93</v>
      </c>
      <c r="C15" s="163"/>
      <c r="D15" s="163"/>
      <c r="E15" s="161"/>
      <c r="F15" s="150" t="s">
        <v>80</v>
      </c>
      <c r="G15" s="151">
        <v>2</v>
      </c>
      <c r="H15" s="151">
        <v>704.85</v>
      </c>
      <c r="I15" s="151">
        <f t="shared" si="0"/>
        <v>1409.7</v>
      </c>
    </row>
    <row r="16" spans="1:9" ht="41.4" x14ac:dyDescent="0.3">
      <c r="A16" s="149">
        <v>7</v>
      </c>
      <c r="B16" s="160" t="s">
        <v>286</v>
      </c>
      <c r="C16" s="166"/>
      <c r="D16" s="166"/>
      <c r="E16" s="160"/>
      <c r="F16" s="150" t="s">
        <v>80</v>
      </c>
      <c r="G16" s="151">
        <v>10</v>
      </c>
      <c r="H16" s="151">
        <v>871.7</v>
      </c>
      <c r="I16" s="151">
        <f t="shared" si="0"/>
        <v>8717</v>
      </c>
    </row>
    <row r="17" spans="1:9" ht="41.4" x14ac:dyDescent="0.3">
      <c r="A17" s="149">
        <v>8</v>
      </c>
      <c r="B17" s="160" t="s">
        <v>287</v>
      </c>
      <c r="C17" s="166"/>
      <c r="D17" s="166"/>
      <c r="E17" s="160"/>
      <c r="F17" s="150" t="s">
        <v>80</v>
      </c>
      <c r="G17" s="151">
        <v>2</v>
      </c>
      <c r="H17" s="151">
        <v>967.21</v>
      </c>
      <c r="I17" s="151">
        <f t="shared" si="0"/>
        <v>1934.42</v>
      </c>
    </row>
    <row r="18" spans="1:9" ht="55.2" x14ac:dyDescent="0.3">
      <c r="A18" s="149">
        <v>9</v>
      </c>
      <c r="B18" s="160" t="s">
        <v>288</v>
      </c>
      <c r="C18" s="166"/>
      <c r="D18" s="166"/>
      <c r="E18" s="160"/>
      <c r="F18" s="150" t="s">
        <v>80</v>
      </c>
      <c r="G18" s="151">
        <v>2</v>
      </c>
      <c r="H18" s="151">
        <v>858.02</v>
      </c>
      <c r="I18" s="151">
        <f t="shared" si="0"/>
        <v>1716.04</v>
      </c>
    </row>
    <row r="19" spans="1:9" ht="41.4" x14ac:dyDescent="0.3">
      <c r="A19" s="149">
        <v>10</v>
      </c>
      <c r="B19" s="160" t="s">
        <v>289</v>
      </c>
      <c r="C19" s="166"/>
      <c r="D19" s="166"/>
      <c r="E19" s="160"/>
      <c r="F19" s="150" t="s">
        <v>80</v>
      </c>
      <c r="G19" s="151">
        <v>2</v>
      </c>
      <c r="H19" s="151">
        <v>720.72</v>
      </c>
      <c r="I19" s="151">
        <f t="shared" si="0"/>
        <v>1441.44</v>
      </c>
    </row>
    <row r="20" spans="1:9" x14ac:dyDescent="0.3">
      <c r="A20" s="149">
        <v>11</v>
      </c>
      <c r="B20" s="160" t="s">
        <v>290</v>
      </c>
      <c r="C20" s="166"/>
      <c r="D20" s="166"/>
      <c r="E20" s="160"/>
      <c r="F20" s="150" t="s">
        <v>1</v>
      </c>
      <c r="G20" s="151">
        <v>144</v>
      </c>
      <c r="H20" s="151">
        <v>45.13</v>
      </c>
      <c r="I20" s="151">
        <f t="shared" si="0"/>
        <v>6498.72</v>
      </c>
    </row>
    <row r="21" spans="1:9" ht="27.6" x14ac:dyDescent="0.3">
      <c r="A21" s="149">
        <v>12</v>
      </c>
      <c r="B21" s="160" t="s">
        <v>291</v>
      </c>
      <c r="C21" s="166" t="s">
        <v>278</v>
      </c>
      <c r="D21" s="166" t="s">
        <v>277</v>
      </c>
      <c r="E21" s="174" t="s">
        <v>276</v>
      </c>
      <c r="F21" s="150" t="s">
        <v>1</v>
      </c>
      <c r="G21" s="151">
        <v>144</v>
      </c>
      <c r="H21" s="151">
        <v>27.96</v>
      </c>
      <c r="I21" s="151">
        <f t="shared" si="0"/>
        <v>4026.2400000000002</v>
      </c>
    </row>
    <row r="22" spans="1:9" ht="27.6" x14ac:dyDescent="0.3">
      <c r="A22" s="149">
        <v>13</v>
      </c>
      <c r="B22" s="161" t="s">
        <v>94</v>
      </c>
      <c r="C22" s="163" t="s">
        <v>280</v>
      </c>
      <c r="D22" s="163">
        <v>555</v>
      </c>
      <c r="E22" s="174" t="s">
        <v>279</v>
      </c>
      <c r="F22" s="150" t="s">
        <v>80</v>
      </c>
      <c r="G22" s="151">
        <v>24</v>
      </c>
      <c r="H22" s="151">
        <v>15.78</v>
      </c>
      <c r="I22" s="151">
        <f t="shared" si="0"/>
        <v>378.71999999999997</v>
      </c>
    </row>
    <row r="23" spans="1:9" x14ac:dyDescent="0.3">
      <c r="A23" s="149">
        <v>14</v>
      </c>
      <c r="B23" s="161" t="s">
        <v>95</v>
      </c>
      <c r="C23" s="163"/>
      <c r="D23" s="163"/>
      <c r="E23" s="161"/>
      <c r="F23" s="150" t="s">
        <v>9</v>
      </c>
      <c r="G23" s="151">
        <v>44</v>
      </c>
      <c r="H23" s="151">
        <v>147.29</v>
      </c>
      <c r="I23" s="151">
        <f t="shared" si="0"/>
        <v>6480.7599999999993</v>
      </c>
    </row>
    <row r="24" spans="1:9" ht="27.6" x14ac:dyDescent="0.3">
      <c r="A24" s="149">
        <v>15</v>
      </c>
      <c r="B24" s="161" t="s">
        <v>96</v>
      </c>
      <c r="C24" s="163"/>
      <c r="D24" s="163"/>
      <c r="E24" s="161"/>
      <c r="F24" s="150" t="s">
        <v>9</v>
      </c>
      <c r="G24" s="151">
        <v>264</v>
      </c>
      <c r="H24" s="151">
        <v>163.15</v>
      </c>
      <c r="I24" s="151">
        <f t="shared" si="0"/>
        <v>43071.6</v>
      </c>
    </row>
    <row r="25" spans="1:9" x14ac:dyDescent="0.3">
      <c r="A25" s="149">
        <v>16</v>
      </c>
      <c r="B25" s="161" t="s">
        <v>97</v>
      </c>
      <c r="C25" s="163"/>
      <c r="D25" s="163"/>
      <c r="E25" s="161"/>
      <c r="F25" s="150" t="s">
        <v>9</v>
      </c>
      <c r="G25" s="151">
        <v>264</v>
      </c>
      <c r="H25" s="151">
        <v>166.64</v>
      </c>
      <c r="I25" s="151">
        <f t="shared" si="0"/>
        <v>43992.959999999999</v>
      </c>
    </row>
    <row r="26" spans="1:9" ht="41.4" x14ac:dyDescent="0.3">
      <c r="A26" s="149">
        <v>17</v>
      </c>
      <c r="B26" s="161" t="s">
        <v>98</v>
      </c>
      <c r="C26" s="163"/>
      <c r="D26" s="163"/>
      <c r="E26" s="161"/>
      <c r="F26" s="150" t="s">
        <v>9</v>
      </c>
      <c r="G26" s="151">
        <v>15</v>
      </c>
      <c r="H26" s="151">
        <v>128.13999999999999</v>
      </c>
      <c r="I26" s="151">
        <f t="shared" si="0"/>
        <v>1922.1</v>
      </c>
    </row>
    <row r="27" spans="1:9" ht="41.4" x14ac:dyDescent="0.3">
      <c r="A27" s="149">
        <v>18</v>
      </c>
      <c r="B27" s="161" t="s">
        <v>99</v>
      </c>
      <c r="C27" s="163"/>
      <c r="D27" s="163"/>
      <c r="E27" s="161"/>
      <c r="F27" s="150" t="s">
        <v>9</v>
      </c>
      <c r="G27" s="151">
        <v>5</v>
      </c>
      <c r="H27" s="151">
        <v>119.79</v>
      </c>
      <c r="I27" s="151">
        <f t="shared" si="0"/>
        <v>598.95000000000005</v>
      </c>
    </row>
    <row r="28" spans="1:9" ht="27.6" x14ac:dyDescent="0.3">
      <c r="A28" s="149">
        <v>19</v>
      </c>
      <c r="B28" s="161" t="s">
        <v>100</v>
      </c>
      <c r="C28" s="163"/>
      <c r="D28" s="163"/>
      <c r="E28" s="161"/>
      <c r="F28" s="150" t="s">
        <v>9</v>
      </c>
      <c r="G28" s="151">
        <v>10</v>
      </c>
      <c r="H28" s="151">
        <v>115.64</v>
      </c>
      <c r="I28" s="151">
        <f t="shared" si="0"/>
        <v>1156.4000000000001</v>
      </c>
    </row>
    <row r="29" spans="1:9" ht="27.6" x14ac:dyDescent="0.3">
      <c r="A29" s="149">
        <v>20</v>
      </c>
      <c r="B29" s="161" t="s">
        <v>101</v>
      </c>
      <c r="C29" s="163"/>
      <c r="D29" s="163"/>
      <c r="E29" s="161"/>
      <c r="F29" s="150" t="s">
        <v>9</v>
      </c>
      <c r="G29" s="151">
        <v>10</v>
      </c>
      <c r="H29" s="151">
        <v>130.77000000000001</v>
      </c>
      <c r="I29" s="151">
        <f t="shared" si="0"/>
        <v>1307.7</v>
      </c>
    </row>
    <row r="30" spans="1:9" ht="27.6" x14ac:dyDescent="0.3">
      <c r="A30" s="149">
        <v>21</v>
      </c>
      <c r="B30" s="161" t="s">
        <v>81</v>
      </c>
      <c r="C30" s="163"/>
      <c r="D30" s="163"/>
      <c r="E30" s="161"/>
      <c r="F30" s="150" t="s">
        <v>9</v>
      </c>
      <c r="G30" s="151">
        <v>10</v>
      </c>
      <c r="H30" s="151">
        <v>118.91</v>
      </c>
      <c r="I30" s="151">
        <f t="shared" si="0"/>
        <v>1189.0999999999999</v>
      </c>
    </row>
    <row r="31" spans="1:9" ht="27.6" x14ac:dyDescent="0.3">
      <c r="A31" s="149">
        <v>22</v>
      </c>
      <c r="B31" s="161" t="s">
        <v>102</v>
      </c>
      <c r="C31" s="163"/>
      <c r="D31" s="163"/>
      <c r="E31" s="161"/>
      <c r="F31" s="150" t="s">
        <v>9</v>
      </c>
      <c r="G31" s="151">
        <v>500</v>
      </c>
      <c r="H31" s="151">
        <v>35.97</v>
      </c>
      <c r="I31" s="151">
        <f t="shared" si="0"/>
        <v>17985</v>
      </c>
    </row>
    <row r="32" spans="1:9" ht="27.6" x14ac:dyDescent="0.3">
      <c r="A32" s="149">
        <v>23</v>
      </c>
      <c r="B32" s="161" t="s">
        <v>103</v>
      </c>
      <c r="C32" s="163"/>
      <c r="D32" s="163"/>
      <c r="E32" s="161"/>
      <c r="F32" s="150" t="s">
        <v>80</v>
      </c>
      <c r="G32" s="151">
        <v>5</v>
      </c>
      <c r="H32" s="151">
        <v>90.78</v>
      </c>
      <c r="I32" s="151">
        <f t="shared" si="0"/>
        <v>453.9</v>
      </c>
    </row>
    <row r="33" spans="1:9" ht="27.6" x14ac:dyDescent="0.3">
      <c r="A33" s="149">
        <v>24</v>
      </c>
      <c r="B33" s="161" t="s">
        <v>104</v>
      </c>
      <c r="C33" s="163"/>
      <c r="D33" s="163"/>
      <c r="E33" s="161"/>
      <c r="F33" s="150" t="s">
        <v>9</v>
      </c>
      <c r="G33" s="151">
        <v>60</v>
      </c>
      <c r="H33" s="151">
        <v>68.209999999999994</v>
      </c>
      <c r="I33" s="151">
        <f t="shared" si="0"/>
        <v>4092.5999999999995</v>
      </c>
    </row>
    <row r="34" spans="1:9" ht="27.6" x14ac:dyDescent="0.3">
      <c r="A34" s="149">
        <v>25</v>
      </c>
      <c r="B34" s="160" t="s">
        <v>292</v>
      </c>
      <c r="C34" s="166"/>
      <c r="D34" s="166"/>
      <c r="E34" s="160"/>
      <c r="F34" s="150" t="s">
        <v>80</v>
      </c>
      <c r="G34" s="151">
        <v>5</v>
      </c>
      <c r="H34" s="151">
        <v>86.14</v>
      </c>
      <c r="I34" s="151">
        <f t="shared" si="0"/>
        <v>430.7</v>
      </c>
    </row>
    <row r="35" spans="1:9" ht="27.6" x14ac:dyDescent="0.3">
      <c r="A35" s="149">
        <v>26</v>
      </c>
      <c r="B35" s="161" t="s">
        <v>105</v>
      </c>
      <c r="C35" s="163"/>
      <c r="D35" s="163"/>
      <c r="E35" s="161"/>
      <c r="F35" s="150" t="s">
        <v>80</v>
      </c>
      <c r="G35" s="151">
        <v>100</v>
      </c>
      <c r="H35" s="151">
        <v>89.67</v>
      </c>
      <c r="I35" s="151">
        <f t="shared" si="0"/>
        <v>8967</v>
      </c>
    </row>
    <row r="36" spans="1:9" ht="27.6" x14ac:dyDescent="0.3">
      <c r="A36" s="149">
        <v>27</v>
      </c>
      <c r="B36" s="161" t="s">
        <v>106</v>
      </c>
      <c r="C36" s="163"/>
      <c r="D36" s="163"/>
      <c r="E36" s="161"/>
      <c r="F36" s="150" t="s">
        <v>80</v>
      </c>
      <c r="G36" s="151">
        <v>5</v>
      </c>
      <c r="H36" s="151">
        <v>75.5</v>
      </c>
      <c r="I36" s="151">
        <f t="shared" si="0"/>
        <v>377.5</v>
      </c>
    </row>
    <row r="37" spans="1:9" ht="27.6" x14ac:dyDescent="0.3">
      <c r="A37" s="149">
        <v>28</v>
      </c>
      <c r="B37" s="160" t="s">
        <v>293</v>
      </c>
      <c r="C37" s="166"/>
      <c r="D37" s="166"/>
      <c r="E37" s="160"/>
      <c r="F37" s="150" t="s">
        <v>80</v>
      </c>
      <c r="G37" s="151">
        <v>5</v>
      </c>
      <c r="H37" s="151">
        <v>64.67</v>
      </c>
      <c r="I37" s="151">
        <f t="shared" si="0"/>
        <v>323.35000000000002</v>
      </c>
    </row>
    <row r="38" spans="1:9" ht="27.6" x14ac:dyDescent="0.3">
      <c r="A38" s="149">
        <v>29</v>
      </c>
      <c r="B38" s="161" t="s">
        <v>107</v>
      </c>
      <c r="C38" s="163"/>
      <c r="D38" s="163"/>
      <c r="E38" s="161"/>
      <c r="F38" s="150" t="s">
        <v>1</v>
      </c>
      <c r="G38" s="151">
        <v>8</v>
      </c>
      <c r="H38" s="151">
        <v>424.94</v>
      </c>
      <c r="I38" s="151">
        <f t="shared" si="0"/>
        <v>3399.52</v>
      </c>
    </row>
    <row r="39" spans="1:9" ht="27.6" x14ac:dyDescent="0.3">
      <c r="A39" s="149">
        <v>30</v>
      </c>
      <c r="B39" s="161" t="s">
        <v>108</v>
      </c>
      <c r="C39" s="163"/>
      <c r="D39" s="163"/>
      <c r="E39" s="161"/>
      <c r="F39" s="150" t="s">
        <v>1</v>
      </c>
      <c r="G39" s="151">
        <v>8</v>
      </c>
      <c r="H39" s="151">
        <v>313.08</v>
      </c>
      <c r="I39" s="151">
        <f t="shared" si="0"/>
        <v>2504.64</v>
      </c>
    </row>
    <row r="40" spans="1:9" ht="55.2" x14ac:dyDescent="0.3">
      <c r="A40" s="149">
        <v>31</v>
      </c>
      <c r="B40" s="161" t="s">
        <v>199</v>
      </c>
      <c r="C40" s="163" t="s">
        <v>322</v>
      </c>
      <c r="D40" s="163" t="s">
        <v>323</v>
      </c>
      <c r="E40" s="174" t="s">
        <v>324</v>
      </c>
      <c r="F40" s="150" t="s">
        <v>9</v>
      </c>
      <c r="G40" s="151">
        <v>3822</v>
      </c>
      <c r="H40" s="151">
        <v>22.13</v>
      </c>
      <c r="I40" s="151">
        <f t="shared" si="0"/>
        <v>84580.86</v>
      </c>
    </row>
    <row r="41" spans="1:9" ht="27.6" x14ac:dyDescent="0.3">
      <c r="A41" s="149">
        <v>32</v>
      </c>
      <c r="B41" s="161" t="s">
        <v>206</v>
      </c>
      <c r="C41" s="163"/>
      <c r="D41" s="163"/>
      <c r="E41" s="161"/>
      <c r="F41" s="150" t="s">
        <v>9</v>
      </c>
      <c r="G41" s="151">
        <v>10</v>
      </c>
      <c r="H41" s="151">
        <v>82.31</v>
      </c>
      <c r="I41" s="151">
        <f t="shared" si="0"/>
        <v>823.1</v>
      </c>
    </row>
    <row r="42" spans="1:9" ht="27.6" x14ac:dyDescent="0.3">
      <c r="A42" s="149">
        <v>33</v>
      </c>
      <c r="B42" s="161" t="s">
        <v>109</v>
      </c>
      <c r="C42" s="163"/>
      <c r="D42" s="163"/>
      <c r="E42" s="161"/>
      <c r="F42" s="150" t="s">
        <v>9</v>
      </c>
      <c r="G42" s="151">
        <v>20</v>
      </c>
      <c r="H42" s="151">
        <v>76.099999999999994</v>
      </c>
      <c r="I42" s="151">
        <f t="shared" ref="I42:I73" si="1">G42*H42</f>
        <v>1522</v>
      </c>
    </row>
    <row r="43" spans="1:9" ht="27.6" x14ac:dyDescent="0.3">
      <c r="A43" s="149">
        <v>34</v>
      </c>
      <c r="B43" s="160" t="s">
        <v>294</v>
      </c>
      <c r="C43" s="166"/>
      <c r="D43" s="166"/>
      <c r="E43" s="160"/>
      <c r="F43" s="150" t="s">
        <v>1</v>
      </c>
      <c r="G43" s="151">
        <v>440</v>
      </c>
      <c r="H43" s="151">
        <v>105.57</v>
      </c>
      <c r="I43" s="151">
        <f t="shared" si="1"/>
        <v>46450.799999999996</v>
      </c>
    </row>
    <row r="44" spans="1:9" ht="41.4" x14ac:dyDescent="0.3">
      <c r="A44" s="149">
        <v>35</v>
      </c>
      <c r="B44" s="161" t="s">
        <v>207</v>
      </c>
      <c r="C44" s="163" t="s">
        <v>325</v>
      </c>
      <c r="D44" s="163" t="s">
        <v>326</v>
      </c>
      <c r="E44" s="174" t="s">
        <v>327</v>
      </c>
      <c r="F44" s="150" t="s">
        <v>1</v>
      </c>
      <c r="G44" s="151">
        <v>152</v>
      </c>
      <c r="H44" s="151">
        <v>196.02</v>
      </c>
      <c r="I44" s="151">
        <f t="shared" si="1"/>
        <v>29795.040000000001</v>
      </c>
    </row>
    <row r="45" spans="1:9" ht="41.4" x14ac:dyDescent="0.3">
      <c r="A45" s="149">
        <v>36</v>
      </c>
      <c r="B45" s="161" t="s">
        <v>110</v>
      </c>
      <c r="C45" s="163" t="s">
        <v>319</v>
      </c>
      <c r="D45" s="163" t="s">
        <v>328</v>
      </c>
      <c r="E45" s="174" t="s">
        <v>329</v>
      </c>
      <c r="F45" s="150" t="s">
        <v>1</v>
      </c>
      <c r="G45" s="151">
        <v>2684</v>
      </c>
      <c r="H45" s="151">
        <v>15.1</v>
      </c>
      <c r="I45" s="151">
        <f t="shared" si="1"/>
        <v>40528.400000000001</v>
      </c>
    </row>
    <row r="46" spans="1:9" ht="27.6" x14ac:dyDescent="0.3">
      <c r="A46" s="149">
        <v>37</v>
      </c>
      <c r="B46" s="161" t="s">
        <v>111</v>
      </c>
      <c r="C46" s="163"/>
      <c r="D46" s="163"/>
      <c r="E46" s="161"/>
      <c r="F46" s="150" t="s">
        <v>1</v>
      </c>
      <c r="G46" s="151">
        <v>62</v>
      </c>
      <c r="H46" s="151">
        <v>64.459999999999994</v>
      </c>
      <c r="I46" s="151">
        <f t="shared" si="1"/>
        <v>3996.5199999999995</v>
      </c>
    </row>
    <row r="47" spans="1:9" ht="27.6" x14ac:dyDescent="0.3">
      <c r="A47" s="149">
        <v>38</v>
      </c>
      <c r="B47" s="161" t="s">
        <v>112</v>
      </c>
      <c r="C47" s="163"/>
      <c r="D47" s="163"/>
      <c r="E47" s="161"/>
      <c r="F47" s="150" t="s">
        <v>1</v>
      </c>
      <c r="G47" s="151">
        <v>1488</v>
      </c>
      <c r="H47" s="151">
        <v>27.71</v>
      </c>
      <c r="I47" s="151">
        <f t="shared" si="1"/>
        <v>41232.480000000003</v>
      </c>
    </row>
    <row r="48" spans="1:9" x14ac:dyDescent="0.3">
      <c r="A48" s="149">
        <v>39</v>
      </c>
      <c r="B48" s="160" t="s">
        <v>295</v>
      </c>
      <c r="C48" s="166"/>
      <c r="D48" s="166"/>
      <c r="E48" s="160"/>
      <c r="F48" s="150" t="s">
        <v>1</v>
      </c>
      <c r="G48" s="151">
        <v>1488</v>
      </c>
      <c r="H48" s="151">
        <v>8.08</v>
      </c>
      <c r="I48" s="151">
        <f t="shared" si="1"/>
        <v>12023.04</v>
      </c>
    </row>
    <row r="49" spans="1:9" ht="41.4" x14ac:dyDescent="0.3">
      <c r="A49" s="149">
        <v>40</v>
      </c>
      <c r="B49" s="161" t="s">
        <v>113</v>
      </c>
      <c r="C49" s="163"/>
      <c r="D49" s="163"/>
      <c r="E49" s="161"/>
      <c r="F49" s="150" t="s">
        <v>1</v>
      </c>
      <c r="G49" s="151">
        <v>1488</v>
      </c>
      <c r="H49" s="151">
        <v>41.72</v>
      </c>
      <c r="I49" s="151">
        <f t="shared" si="1"/>
        <v>62079.360000000001</v>
      </c>
    </row>
    <row r="50" spans="1:9" ht="41.4" x14ac:dyDescent="0.3">
      <c r="A50" s="149">
        <v>41</v>
      </c>
      <c r="B50" s="161" t="s">
        <v>114</v>
      </c>
      <c r="C50" s="163" t="s">
        <v>330</v>
      </c>
      <c r="D50" s="163" t="s">
        <v>331</v>
      </c>
      <c r="E50" s="174" t="s">
        <v>332</v>
      </c>
      <c r="F50" s="150" t="s">
        <v>1</v>
      </c>
      <c r="G50" s="151">
        <v>20</v>
      </c>
      <c r="H50" s="151">
        <v>53.04</v>
      </c>
      <c r="I50" s="151">
        <f t="shared" si="1"/>
        <v>1060.8</v>
      </c>
    </row>
    <row r="51" spans="1:9" ht="41.4" x14ac:dyDescent="0.3">
      <c r="A51" s="149">
        <v>42</v>
      </c>
      <c r="B51" s="161" t="s">
        <v>115</v>
      </c>
      <c r="C51" s="163"/>
      <c r="D51" s="163"/>
      <c r="E51" s="161"/>
      <c r="F51" s="150" t="s">
        <v>1</v>
      </c>
      <c r="G51" s="151">
        <v>20</v>
      </c>
      <c r="H51" s="151">
        <v>85.12</v>
      </c>
      <c r="I51" s="151">
        <f t="shared" si="1"/>
        <v>1702.4</v>
      </c>
    </row>
    <row r="52" spans="1:9" ht="27.6" x14ac:dyDescent="0.3">
      <c r="A52" s="149">
        <v>43</v>
      </c>
      <c r="B52" s="161" t="s">
        <v>116</v>
      </c>
      <c r="C52" s="163" t="s">
        <v>333</v>
      </c>
      <c r="D52" s="163" t="s">
        <v>334</v>
      </c>
      <c r="E52" s="174" t="s">
        <v>335</v>
      </c>
      <c r="F52" s="150" t="s">
        <v>1</v>
      </c>
      <c r="G52" s="151">
        <v>1488</v>
      </c>
      <c r="H52" s="151">
        <v>127.91</v>
      </c>
      <c r="I52" s="151">
        <f t="shared" si="1"/>
        <v>190330.08</v>
      </c>
    </row>
    <row r="53" spans="1:9" ht="41.4" x14ac:dyDescent="0.3">
      <c r="A53" s="149">
        <v>44</v>
      </c>
      <c r="B53" s="161" t="s">
        <v>82</v>
      </c>
      <c r="C53" s="163" t="s">
        <v>336</v>
      </c>
      <c r="D53" s="163" t="s">
        <v>337</v>
      </c>
      <c r="E53" s="174" t="s">
        <v>338</v>
      </c>
      <c r="F53" s="150" t="s">
        <v>1</v>
      </c>
      <c r="G53" s="151">
        <v>10</v>
      </c>
      <c r="H53" s="151">
        <v>89.74</v>
      </c>
      <c r="I53" s="151">
        <f t="shared" si="1"/>
        <v>897.4</v>
      </c>
    </row>
    <row r="54" spans="1:9" ht="41.4" x14ac:dyDescent="0.3">
      <c r="A54" s="149">
        <v>45</v>
      </c>
      <c r="B54" s="161" t="s">
        <v>117</v>
      </c>
      <c r="C54" s="163"/>
      <c r="D54" s="163"/>
      <c r="E54" s="161"/>
      <c r="F54" s="150" t="s">
        <v>1</v>
      </c>
      <c r="G54" s="151">
        <v>5</v>
      </c>
      <c r="H54" s="151">
        <v>285.56</v>
      </c>
      <c r="I54" s="151">
        <f t="shared" si="1"/>
        <v>1427.8</v>
      </c>
    </row>
    <row r="55" spans="1:9" ht="27.6" x14ac:dyDescent="0.3">
      <c r="A55" s="149">
        <v>46</v>
      </c>
      <c r="B55" s="161" t="s">
        <v>118</v>
      </c>
      <c r="C55" s="163"/>
      <c r="D55" s="163"/>
      <c r="E55" s="161"/>
      <c r="F55" s="150" t="s">
        <v>1</v>
      </c>
      <c r="G55" s="151">
        <v>10</v>
      </c>
      <c r="H55" s="151">
        <v>91.12</v>
      </c>
      <c r="I55" s="151">
        <f t="shared" si="1"/>
        <v>911.2</v>
      </c>
    </row>
    <row r="56" spans="1:9" ht="41.4" x14ac:dyDescent="0.3">
      <c r="A56" s="149">
        <v>47</v>
      </c>
      <c r="B56" s="161" t="s">
        <v>119</v>
      </c>
      <c r="C56" s="163" t="s">
        <v>339</v>
      </c>
      <c r="D56" s="163" t="s">
        <v>340</v>
      </c>
      <c r="E56" s="174" t="s">
        <v>341</v>
      </c>
      <c r="F56" s="150" t="s">
        <v>1</v>
      </c>
      <c r="G56" s="151">
        <v>20</v>
      </c>
      <c r="H56" s="151">
        <v>94.88</v>
      </c>
      <c r="I56" s="151">
        <f t="shared" si="1"/>
        <v>1897.6</v>
      </c>
    </row>
    <row r="57" spans="1:9" ht="27.6" x14ac:dyDescent="0.3">
      <c r="A57" s="149">
        <v>48</v>
      </c>
      <c r="B57" s="161" t="s">
        <v>120</v>
      </c>
      <c r="C57" s="163"/>
      <c r="D57" s="163"/>
      <c r="E57" s="161"/>
      <c r="F57" s="150" t="s">
        <v>1</v>
      </c>
      <c r="G57" s="151">
        <v>870</v>
      </c>
      <c r="H57" s="151">
        <v>15.86</v>
      </c>
      <c r="I57" s="151">
        <f t="shared" si="1"/>
        <v>13798.199999999999</v>
      </c>
    </row>
    <row r="58" spans="1:9" ht="27.6" x14ac:dyDescent="0.3">
      <c r="A58" s="149">
        <v>49</v>
      </c>
      <c r="B58" s="161" t="s">
        <v>121</v>
      </c>
      <c r="C58" s="163"/>
      <c r="D58" s="163"/>
      <c r="E58" s="161"/>
      <c r="F58" s="150" t="s">
        <v>1</v>
      </c>
      <c r="G58" s="151">
        <v>900</v>
      </c>
      <c r="H58" s="151">
        <v>17.079999999999998</v>
      </c>
      <c r="I58" s="151">
        <f t="shared" si="1"/>
        <v>15371.999999999998</v>
      </c>
    </row>
    <row r="59" spans="1:9" ht="41.4" x14ac:dyDescent="0.3">
      <c r="A59" s="149">
        <v>50</v>
      </c>
      <c r="B59" s="161" t="s">
        <v>122</v>
      </c>
      <c r="C59" s="163"/>
      <c r="D59" s="163"/>
      <c r="E59" s="161"/>
      <c r="F59" s="150" t="s">
        <v>9</v>
      </c>
      <c r="G59" s="151">
        <v>252</v>
      </c>
      <c r="H59" s="151">
        <v>16.96</v>
      </c>
      <c r="I59" s="151">
        <f t="shared" si="1"/>
        <v>4273.92</v>
      </c>
    </row>
    <row r="60" spans="1:9" ht="41.4" x14ac:dyDescent="0.3">
      <c r="A60" s="149">
        <v>51</v>
      </c>
      <c r="B60" s="161" t="s">
        <v>123</v>
      </c>
      <c r="C60" s="163"/>
      <c r="D60" s="163"/>
      <c r="E60" s="161"/>
      <c r="F60" s="150" t="s">
        <v>9</v>
      </c>
      <c r="G60" s="151">
        <v>252</v>
      </c>
      <c r="H60" s="151">
        <v>20.51</v>
      </c>
      <c r="I60" s="151">
        <f t="shared" si="1"/>
        <v>5168.5200000000004</v>
      </c>
    </row>
    <row r="61" spans="1:9" ht="41.4" x14ac:dyDescent="0.3">
      <c r="A61" s="149">
        <v>52</v>
      </c>
      <c r="B61" s="161" t="s">
        <v>124</v>
      </c>
      <c r="C61" s="163" t="s">
        <v>342</v>
      </c>
      <c r="D61" s="163" t="s">
        <v>343</v>
      </c>
      <c r="E61" s="174" t="s">
        <v>344</v>
      </c>
      <c r="F61" s="150" t="s">
        <v>9</v>
      </c>
      <c r="G61" s="151">
        <v>10</v>
      </c>
      <c r="H61" s="151">
        <v>22.99</v>
      </c>
      <c r="I61" s="151">
        <f t="shared" si="1"/>
        <v>229.89999999999998</v>
      </c>
    </row>
    <row r="62" spans="1:9" ht="41.4" x14ac:dyDescent="0.3">
      <c r="A62" s="149">
        <v>53</v>
      </c>
      <c r="B62" s="161" t="s">
        <v>125</v>
      </c>
      <c r="C62" s="163" t="s">
        <v>345</v>
      </c>
      <c r="D62" s="163" t="s">
        <v>346</v>
      </c>
      <c r="E62" s="174" t="s">
        <v>347</v>
      </c>
      <c r="F62" s="150" t="s">
        <v>9</v>
      </c>
      <c r="G62" s="151">
        <v>10</v>
      </c>
      <c r="H62" s="151">
        <v>26.54</v>
      </c>
      <c r="I62" s="151">
        <f t="shared" si="1"/>
        <v>265.39999999999998</v>
      </c>
    </row>
    <row r="63" spans="1:9" ht="41.4" x14ac:dyDescent="0.3">
      <c r="A63" s="149">
        <v>54</v>
      </c>
      <c r="B63" s="161" t="s">
        <v>126</v>
      </c>
      <c r="C63" s="163" t="s">
        <v>348</v>
      </c>
      <c r="D63" s="163" t="s">
        <v>349</v>
      </c>
      <c r="E63" s="174" t="s">
        <v>350</v>
      </c>
      <c r="F63" s="150" t="s">
        <v>9</v>
      </c>
      <c r="G63" s="151">
        <v>20</v>
      </c>
      <c r="H63" s="151">
        <v>15.22</v>
      </c>
      <c r="I63" s="151">
        <f t="shared" si="1"/>
        <v>304.40000000000003</v>
      </c>
    </row>
    <row r="64" spans="1:9" ht="55.2" x14ac:dyDescent="0.3">
      <c r="A64" s="149">
        <v>55</v>
      </c>
      <c r="B64" s="161" t="s">
        <v>127</v>
      </c>
      <c r="C64" s="163" t="s">
        <v>351</v>
      </c>
      <c r="D64" s="163" t="s">
        <v>352</v>
      </c>
      <c r="E64" s="174" t="s">
        <v>353</v>
      </c>
      <c r="F64" s="150" t="s">
        <v>1</v>
      </c>
      <c r="G64" s="151">
        <v>2916</v>
      </c>
      <c r="H64" s="151">
        <v>6.66</v>
      </c>
      <c r="I64" s="151">
        <f t="shared" si="1"/>
        <v>19420.560000000001</v>
      </c>
    </row>
    <row r="65" spans="1:11" ht="27.6" x14ac:dyDescent="0.3">
      <c r="A65" s="149">
        <v>56</v>
      </c>
      <c r="B65" s="161" t="s">
        <v>128</v>
      </c>
      <c r="C65" s="163"/>
      <c r="D65" s="163"/>
      <c r="E65" s="161"/>
      <c r="F65" s="150" t="s">
        <v>1</v>
      </c>
      <c r="G65" s="151">
        <v>2916</v>
      </c>
      <c r="H65" s="151">
        <v>29.35</v>
      </c>
      <c r="I65" s="151">
        <f t="shared" si="1"/>
        <v>85584.6</v>
      </c>
    </row>
    <row r="66" spans="1:11" ht="27.6" x14ac:dyDescent="0.3">
      <c r="A66" s="149">
        <v>57</v>
      </c>
      <c r="B66" s="161" t="s">
        <v>129</v>
      </c>
      <c r="C66" s="163" t="s">
        <v>354</v>
      </c>
      <c r="D66" s="163" t="s">
        <v>355</v>
      </c>
      <c r="E66" s="174" t="s">
        <v>356</v>
      </c>
      <c r="F66" s="150" t="s">
        <v>1</v>
      </c>
      <c r="G66" s="151">
        <v>42</v>
      </c>
      <c r="H66" s="151">
        <v>81.81</v>
      </c>
      <c r="I66" s="151">
        <f t="shared" si="1"/>
        <v>3436.02</v>
      </c>
    </row>
    <row r="67" spans="1:11" ht="27.6" x14ac:dyDescent="0.3">
      <c r="A67" s="149">
        <v>58</v>
      </c>
      <c r="B67" s="161" t="s">
        <v>130</v>
      </c>
      <c r="C67" s="163"/>
      <c r="D67" s="163"/>
      <c r="E67" s="161"/>
      <c r="F67" s="150" t="s">
        <v>1</v>
      </c>
      <c r="G67" s="151">
        <v>8</v>
      </c>
      <c r="H67" s="151">
        <v>391.34</v>
      </c>
      <c r="I67" s="151">
        <f t="shared" si="1"/>
        <v>3130.72</v>
      </c>
    </row>
    <row r="68" spans="1:11" ht="41.4" x14ac:dyDescent="0.3">
      <c r="A68" s="149">
        <v>59</v>
      </c>
      <c r="B68" s="161" t="s">
        <v>131</v>
      </c>
      <c r="C68" s="163" t="s">
        <v>333</v>
      </c>
      <c r="D68" s="163" t="s">
        <v>357</v>
      </c>
      <c r="E68" s="174" t="s">
        <v>358</v>
      </c>
      <c r="F68" s="150" t="s">
        <v>1</v>
      </c>
      <c r="G68" s="151">
        <v>440</v>
      </c>
      <c r="H68" s="151">
        <v>86.31</v>
      </c>
      <c r="I68" s="151">
        <f t="shared" si="1"/>
        <v>37976.400000000001</v>
      </c>
    </row>
    <row r="69" spans="1:11" ht="55.2" x14ac:dyDescent="0.3">
      <c r="A69" s="149">
        <v>60</v>
      </c>
      <c r="B69" s="161" t="s">
        <v>132</v>
      </c>
      <c r="C69" s="163" t="s">
        <v>336</v>
      </c>
      <c r="D69" s="163" t="s">
        <v>359</v>
      </c>
      <c r="E69" s="174" t="s">
        <v>360</v>
      </c>
      <c r="F69" s="150" t="s">
        <v>1</v>
      </c>
      <c r="G69" s="151">
        <v>10</v>
      </c>
      <c r="H69" s="151">
        <v>91.9</v>
      </c>
      <c r="I69" s="151">
        <f t="shared" si="1"/>
        <v>919</v>
      </c>
    </row>
    <row r="70" spans="1:11" ht="27.6" x14ac:dyDescent="0.3">
      <c r="A70" s="149">
        <v>61</v>
      </c>
      <c r="B70" s="161" t="s">
        <v>133</v>
      </c>
      <c r="C70" s="163" t="s">
        <v>361</v>
      </c>
      <c r="D70" s="163" t="s">
        <v>326</v>
      </c>
      <c r="E70" s="174" t="s">
        <v>444</v>
      </c>
      <c r="F70" s="150" t="s">
        <v>1</v>
      </c>
      <c r="G70" s="151">
        <v>50</v>
      </c>
      <c r="H70" s="151">
        <v>202.21</v>
      </c>
      <c r="I70" s="151">
        <f t="shared" si="1"/>
        <v>10110.5</v>
      </c>
    </row>
    <row r="71" spans="1:11" ht="27.6" x14ac:dyDescent="0.3">
      <c r="A71" s="149">
        <v>62</v>
      </c>
      <c r="B71" s="161" t="s">
        <v>134</v>
      </c>
      <c r="C71" s="163" t="s">
        <v>362</v>
      </c>
      <c r="D71" s="163" t="s">
        <v>363</v>
      </c>
      <c r="E71" s="174" t="s">
        <v>364</v>
      </c>
      <c r="F71" s="150" t="s">
        <v>1</v>
      </c>
      <c r="G71" s="151">
        <v>25</v>
      </c>
      <c r="H71" s="151">
        <v>69.14</v>
      </c>
      <c r="I71" s="151">
        <f t="shared" si="1"/>
        <v>1728.5</v>
      </c>
    </row>
    <row r="72" spans="1:11" x14ac:dyDescent="0.3">
      <c r="A72" s="149">
        <v>63</v>
      </c>
      <c r="B72" s="161" t="s">
        <v>135</v>
      </c>
      <c r="C72" s="163"/>
      <c r="D72" s="163"/>
      <c r="E72" s="161"/>
      <c r="F72" s="150" t="s">
        <v>1</v>
      </c>
      <c r="G72" s="151">
        <v>2820</v>
      </c>
      <c r="H72" s="151">
        <v>10.17</v>
      </c>
      <c r="I72" s="151">
        <f t="shared" si="1"/>
        <v>28679.4</v>
      </c>
    </row>
    <row r="73" spans="1:11" ht="27.6" x14ac:dyDescent="0.3">
      <c r="A73" s="149">
        <v>64</v>
      </c>
      <c r="B73" s="161" t="s">
        <v>83</v>
      </c>
      <c r="C73" s="163"/>
      <c r="D73" s="163"/>
      <c r="E73" s="161"/>
      <c r="F73" s="150" t="s">
        <v>1</v>
      </c>
      <c r="G73" s="151">
        <v>61</v>
      </c>
      <c r="H73" s="151">
        <v>12</v>
      </c>
      <c r="I73" s="151">
        <f t="shared" si="1"/>
        <v>732</v>
      </c>
    </row>
    <row r="74" spans="1:11" ht="27.6" x14ac:dyDescent="0.3">
      <c r="A74" s="149">
        <v>65</v>
      </c>
      <c r="B74" s="161" t="s">
        <v>136</v>
      </c>
      <c r="C74" s="163"/>
      <c r="D74" s="163"/>
      <c r="E74" s="161"/>
      <c r="F74" s="150" t="s">
        <v>1</v>
      </c>
      <c r="G74" s="151">
        <v>940</v>
      </c>
      <c r="H74" s="151">
        <v>12.82</v>
      </c>
      <c r="I74" s="151">
        <f t="shared" ref="I74:I105" si="2">G74*H74</f>
        <v>12050.800000000001</v>
      </c>
    </row>
    <row r="75" spans="1:11" ht="27.6" x14ac:dyDescent="0.3">
      <c r="A75" s="149">
        <v>66</v>
      </c>
      <c r="B75" s="161" t="s">
        <v>137</v>
      </c>
      <c r="C75" s="163"/>
      <c r="D75" s="163"/>
      <c r="E75" s="161"/>
      <c r="F75" s="150" t="s">
        <v>1</v>
      </c>
      <c r="G75" s="151">
        <v>10</v>
      </c>
      <c r="H75" s="151">
        <v>390.57</v>
      </c>
      <c r="I75" s="151">
        <f t="shared" si="2"/>
        <v>3905.7</v>
      </c>
    </row>
    <row r="76" spans="1:11" ht="27.6" x14ac:dyDescent="0.3">
      <c r="A76" s="149">
        <v>67</v>
      </c>
      <c r="B76" s="160" t="s">
        <v>296</v>
      </c>
      <c r="C76" s="166"/>
      <c r="D76" s="166"/>
      <c r="E76" s="160"/>
      <c r="F76" s="150" t="s">
        <v>1</v>
      </c>
      <c r="G76" s="151">
        <v>7</v>
      </c>
      <c r="H76" s="151">
        <v>313.95</v>
      </c>
      <c r="I76" s="151">
        <f t="shared" si="2"/>
        <v>2197.65</v>
      </c>
    </row>
    <row r="77" spans="1:11" ht="27.6" x14ac:dyDescent="0.3">
      <c r="A77" s="149">
        <v>68</v>
      </c>
      <c r="B77" s="161" t="s">
        <v>138</v>
      </c>
      <c r="C77" s="163"/>
      <c r="D77" s="163"/>
      <c r="E77" s="161"/>
      <c r="F77" s="150" t="s">
        <v>1</v>
      </c>
      <c r="G77" s="151">
        <v>10</v>
      </c>
      <c r="H77" s="151">
        <v>266.64</v>
      </c>
      <c r="I77" s="151">
        <f t="shared" si="2"/>
        <v>2666.3999999999996</v>
      </c>
      <c r="K77" s="172"/>
    </row>
    <row r="78" spans="1:11" ht="27.6" x14ac:dyDescent="0.3">
      <c r="A78" s="149">
        <v>69</v>
      </c>
      <c r="B78" s="160" t="s">
        <v>297</v>
      </c>
      <c r="C78" s="166"/>
      <c r="D78" s="166"/>
      <c r="E78" s="160"/>
      <c r="F78" s="150" t="s">
        <v>1</v>
      </c>
      <c r="G78" s="151">
        <v>109</v>
      </c>
      <c r="H78" s="151">
        <v>367.34550458715597</v>
      </c>
      <c r="I78" s="151">
        <f t="shared" si="2"/>
        <v>40040.660000000003</v>
      </c>
      <c r="K78" s="172"/>
    </row>
    <row r="79" spans="1:11" ht="27.6" x14ac:dyDescent="0.3">
      <c r="A79" s="149">
        <v>70</v>
      </c>
      <c r="B79" s="161" t="s">
        <v>139</v>
      </c>
      <c r="C79" s="163"/>
      <c r="D79" s="163"/>
      <c r="E79" s="161"/>
      <c r="F79" s="150" t="s">
        <v>1</v>
      </c>
      <c r="G79" s="151">
        <v>13</v>
      </c>
      <c r="H79" s="151">
        <v>297.69</v>
      </c>
      <c r="I79" s="151">
        <f t="shared" si="2"/>
        <v>3869.97</v>
      </c>
    </row>
    <row r="80" spans="1:11" ht="27.6" x14ac:dyDescent="0.3">
      <c r="A80" s="149">
        <v>71</v>
      </c>
      <c r="B80" s="160" t="s">
        <v>298</v>
      </c>
      <c r="C80" s="166"/>
      <c r="D80" s="166"/>
      <c r="E80" s="160"/>
      <c r="F80" s="150" t="s">
        <v>1</v>
      </c>
      <c r="G80" s="151">
        <v>69</v>
      </c>
      <c r="H80" s="151">
        <v>444.7</v>
      </c>
      <c r="I80" s="151">
        <f t="shared" si="2"/>
        <v>30684.3</v>
      </c>
    </row>
    <row r="81" spans="1:11" ht="41.4" x14ac:dyDescent="0.3">
      <c r="A81" s="149">
        <v>72</v>
      </c>
      <c r="B81" s="161" t="s">
        <v>84</v>
      </c>
      <c r="C81" s="163"/>
      <c r="D81" s="163"/>
      <c r="E81" s="161"/>
      <c r="F81" s="150" t="s">
        <v>1</v>
      </c>
      <c r="G81" s="151">
        <v>10</v>
      </c>
      <c r="H81" s="151">
        <v>359.41</v>
      </c>
      <c r="I81" s="151">
        <f t="shared" si="2"/>
        <v>3594.1000000000004</v>
      </c>
    </row>
    <row r="82" spans="1:11" ht="27.6" x14ac:dyDescent="0.3">
      <c r="A82" s="149">
        <v>73</v>
      </c>
      <c r="B82" s="161" t="s">
        <v>140</v>
      </c>
      <c r="C82" s="163"/>
      <c r="D82" s="163"/>
      <c r="E82" s="161"/>
      <c r="F82" s="150" t="s">
        <v>1</v>
      </c>
      <c r="G82" s="151">
        <v>354</v>
      </c>
      <c r="H82" s="151">
        <v>62.37</v>
      </c>
      <c r="I82" s="151">
        <f t="shared" si="2"/>
        <v>22078.98</v>
      </c>
    </row>
    <row r="83" spans="1:11" ht="27.6" x14ac:dyDescent="0.3">
      <c r="A83" s="149">
        <v>74</v>
      </c>
      <c r="B83" s="161" t="s">
        <v>141</v>
      </c>
      <c r="C83" s="163" t="s">
        <v>365</v>
      </c>
      <c r="D83" s="163" t="s">
        <v>366</v>
      </c>
      <c r="E83" s="174" t="s">
        <v>367</v>
      </c>
      <c r="F83" s="150" t="s">
        <v>80</v>
      </c>
      <c r="G83" s="151">
        <v>76</v>
      </c>
      <c r="H83" s="151">
        <v>240.84</v>
      </c>
      <c r="I83" s="151">
        <f t="shared" si="2"/>
        <v>18303.84</v>
      </c>
    </row>
    <row r="84" spans="1:11" ht="27.6" x14ac:dyDescent="0.3">
      <c r="A84" s="149">
        <v>75</v>
      </c>
      <c r="B84" s="161" t="s">
        <v>142</v>
      </c>
      <c r="C84" s="163" t="s">
        <v>368</v>
      </c>
      <c r="D84" s="163" t="s">
        <v>369</v>
      </c>
      <c r="E84" s="174" t="s">
        <v>370</v>
      </c>
      <c r="F84" s="150" t="s">
        <v>80</v>
      </c>
      <c r="G84" s="151">
        <v>2</v>
      </c>
      <c r="H84" s="151">
        <v>999.13</v>
      </c>
      <c r="I84" s="151">
        <f t="shared" si="2"/>
        <v>1998.26</v>
      </c>
    </row>
    <row r="85" spans="1:11" ht="41.4" x14ac:dyDescent="0.3">
      <c r="A85" s="149">
        <v>76</v>
      </c>
      <c r="B85" s="161" t="s">
        <v>143</v>
      </c>
      <c r="C85" s="163" t="s">
        <v>371</v>
      </c>
      <c r="D85" s="163" t="s">
        <v>372</v>
      </c>
      <c r="E85" s="174" t="s">
        <v>373</v>
      </c>
      <c r="F85" s="150" t="s">
        <v>80</v>
      </c>
      <c r="G85" s="151">
        <v>2</v>
      </c>
      <c r="H85" s="151">
        <v>940.17</v>
      </c>
      <c r="I85" s="151">
        <f t="shared" si="2"/>
        <v>1880.34</v>
      </c>
    </row>
    <row r="86" spans="1:11" ht="41.4" x14ac:dyDescent="0.3">
      <c r="A86" s="149">
        <v>77</v>
      </c>
      <c r="B86" s="161" t="s">
        <v>144</v>
      </c>
      <c r="C86" s="163" t="s">
        <v>330</v>
      </c>
      <c r="D86" s="163">
        <v>40015</v>
      </c>
      <c r="E86" s="174" t="s">
        <v>374</v>
      </c>
      <c r="F86" s="150" t="s">
        <v>80</v>
      </c>
      <c r="G86" s="151">
        <v>2</v>
      </c>
      <c r="H86" s="151">
        <v>639.30999999999995</v>
      </c>
      <c r="I86" s="151">
        <f t="shared" si="2"/>
        <v>1278.6199999999999</v>
      </c>
    </row>
    <row r="87" spans="1:11" ht="41.4" x14ac:dyDescent="0.3">
      <c r="A87" s="149">
        <v>78</v>
      </c>
      <c r="B87" s="161" t="s">
        <v>145</v>
      </c>
      <c r="C87" s="163" t="s">
        <v>330</v>
      </c>
      <c r="D87" s="163">
        <v>85098</v>
      </c>
      <c r="E87" s="174" t="s">
        <v>375</v>
      </c>
      <c r="F87" s="150" t="s">
        <v>80</v>
      </c>
      <c r="G87" s="151">
        <v>2</v>
      </c>
      <c r="H87" s="151">
        <v>531.30999999999995</v>
      </c>
      <c r="I87" s="151">
        <f t="shared" si="2"/>
        <v>1062.6199999999999</v>
      </c>
      <c r="K87" s="172"/>
    </row>
    <row r="88" spans="1:11" ht="41.4" x14ac:dyDescent="0.3">
      <c r="A88" s="149">
        <v>79</v>
      </c>
      <c r="B88" s="161" t="s">
        <v>146</v>
      </c>
      <c r="C88" s="163" t="s">
        <v>330</v>
      </c>
      <c r="D88" s="163">
        <v>11038</v>
      </c>
      <c r="E88" s="174" t="s">
        <v>376</v>
      </c>
      <c r="F88" s="150" t="s">
        <v>80</v>
      </c>
      <c r="G88" s="151">
        <v>25</v>
      </c>
      <c r="H88" s="151">
        <v>196.3</v>
      </c>
      <c r="I88" s="151">
        <f t="shared" si="2"/>
        <v>4907.5</v>
      </c>
    </row>
    <row r="89" spans="1:11" ht="55.2" x14ac:dyDescent="0.3">
      <c r="A89" s="149">
        <v>80</v>
      </c>
      <c r="B89" s="161" t="s">
        <v>147</v>
      </c>
      <c r="C89" s="163" t="s">
        <v>377</v>
      </c>
      <c r="D89" s="163">
        <v>13707</v>
      </c>
      <c r="E89" s="174" t="s">
        <v>378</v>
      </c>
      <c r="F89" s="150" t="s">
        <v>80</v>
      </c>
      <c r="G89" s="151">
        <v>24</v>
      </c>
      <c r="H89" s="151">
        <v>1121.75</v>
      </c>
      <c r="I89" s="151">
        <f t="shared" si="2"/>
        <v>26922</v>
      </c>
    </row>
    <row r="90" spans="1:11" ht="69" x14ac:dyDescent="0.3">
      <c r="A90" s="149">
        <v>81</v>
      </c>
      <c r="B90" s="161" t="s">
        <v>148</v>
      </c>
      <c r="C90" s="163" t="s">
        <v>377</v>
      </c>
      <c r="D90" s="163">
        <v>75</v>
      </c>
      <c r="E90" s="174" t="s">
        <v>379</v>
      </c>
      <c r="F90" s="150" t="s">
        <v>80</v>
      </c>
      <c r="G90" s="151">
        <v>8</v>
      </c>
      <c r="H90" s="151">
        <v>1034.1099999999999</v>
      </c>
      <c r="I90" s="151">
        <f t="shared" si="2"/>
        <v>8272.8799999999992</v>
      </c>
    </row>
    <row r="91" spans="1:11" ht="55.2" x14ac:dyDescent="0.3">
      <c r="A91" s="149">
        <v>82</v>
      </c>
      <c r="B91" s="161" t="s">
        <v>149</v>
      </c>
      <c r="C91" s="163" t="s">
        <v>377</v>
      </c>
      <c r="D91" s="163">
        <v>10948</v>
      </c>
      <c r="E91" s="174" t="s">
        <v>380</v>
      </c>
      <c r="F91" s="150" t="s">
        <v>80</v>
      </c>
      <c r="G91" s="151">
        <v>23</v>
      </c>
      <c r="H91" s="151">
        <v>835.33</v>
      </c>
      <c r="I91" s="151">
        <f t="shared" si="2"/>
        <v>19212.59</v>
      </c>
    </row>
    <row r="92" spans="1:11" ht="27.6" x14ac:dyDescent="0.3">
      <c r="A92" s="149">
        <v>83</v>
      </c>
      <c r="B92" s="161" t="s">
        <v>150</v>
      </c>
      <c r="C92" s="163" t="s">
        <v>330</v>
      </c>
      <c r="D92" s="163">
        <v>51266</v>
      </c>
      <c r="E92" s="174" t="s">
        <v>381</v>
      </c>
      <c r="F92" s="150" t="s">
        <v>80</v>
      </c>
      <c r="G92" s="151">
        <v>2</v>
      </c>
      <c r="H92" s="151">
        <v>660.22</v>
      </c>
      <c r="I92" s="151">
        <f t="shared" si="2"/>
        <v>1320.44</v>
      </c>
    </row>
    <row r="93" spans="1:11" ht="41.4" x14ac:dyDescent="0.3">
      <c r="A93" s="149">
        <v>84</v>
      </c>
      <c r="B93" s="161" t="s">
        <v>151</v>
      </c>
      <c r="C93" s="163" t="s">
        <v>382</v>
      </c>
      <c r="D93" s="163">
        <v>0</v>
      </c>
      <c r="E93" s="174" t="s">
        <v>383</v>
      </c>
      <c r="F93" s="150" t="s">
        <v>80</v>
      </c>
      <c r="G93" s="151">
        <v>5</v>
      </c>
      <c r="H93" s="151">
        <v>16.850000000000001</v>
      </c>
      <c r="I93" s="151">
        <f t="shared" si="2"/>
        <v>84.25</v>
      </c>
    </row>
    <row r="94" spans="1:11" ht="27.6" x14ac:dyDescent="0.3">
      <c r="A94" s="149">
        <v>85</v>
      </c>
      <c r="B94" s="161" t="s">
        <v>152</v>
      </c>
      <c r="C94" s="163" t="s">
        <v>384</v>
      </c>
      <c r="D94" s="163" t="s">
        <v>385</v>
      </c>
      <c r="E94" s="174" t="s">
        <v>386</v>
      </c>
      <c r="F94" s="150" t="s">
        <v>80</v>
      </c>
      <c r="G94" s="151">
        <v>25</v>
      </c>
      <c r="H94" s="151">
        <v>149.82</v>
      </c>
      <c r="I94" s="151">
        <f t="shared" si="2"/>
        <v>3745.5</v>
      </c>
    </row>
    <row r="95" spans="1:11" ht="41.4" x14ac:dyDescent="0.3">
      <c r="A95" s="149">
        <v>86</v>
      </c>
      <c r="B95" s="161" t="s">
        <v>153</v>
      </c>
      <c r="C95" s="163" t="s">
        <v>387</v>
      </c>
      <c r="D95" s="163" t="s">
        <v>388</v>
      </c>
      <c r="E95" s="174" t="s">
        <v>389</v>
      </c>
      <c r="F95" s="150" t="s">
        <v>80</v>
      </c>
      <c r="G95" s="151">
        <v>2</v>
      </c>
      <c r="H95" s="151">
        <v>348.95</v>
      </c>
      <c r="I95" s="151">
        <f t="shared" si="2"/>
        <v>697.9</v>
      </c>
    </row>
    <row r="96" spans="1:11" ht="41.4" x14ac:dyDescent="0.3">
      <c r="A96" s="149">
        <v>87</v>
      </c>
      <c r="B96" s="161" t="s">
        <v>154</v>
      </c>
      <c r="C96" s="163" t="s">
        <v>384</v>
      </c>
      <c r="D96" s="163" t="s">
        <v>390</v>
      </c>
      <c r="E96" s="174" t="s">
        <v>391</v>
      </c>
      <c r="F96" s="150" t="s">
        <v>80</v>
      </c>
      <c r="G96" s="151">
        <v>2</v>
      </c>
      <c r="H96" s="151">
        <v>327.74</v>
      </c>
      <c r="I96" s="151">
        <f t="shared" si="2"/>
        <v>655.48</v>
      </c>
    </row>
    <row r="97" spans="1:9" ht="41.4" x14ac:dyDescent="0.3">
      <c r="A97" s="149">
        <v>88</v>
      </c>
      <c r="B97" s="161" t="s">
        <v>155</v>
      </c>
      <c r="C97" s="163" t="s">
        <v>387</v>
      </c>
      <c r="D97" s="163" t="s">
        <v>392</v>
      </c>
      <c r="E97" s="174" t="s">
        <v>393</v>
      </c>
      <c r="F97" s="150" t="s">
        <v>80</v>
      </c>
      <c r="G97" s="151">
        <v>25</v>
      </c>
      <c r="H97" s="151">
        <v>119.51</v>
      </c>
      <c r="I97" s="151">
        <f t="shared" si="2"/>
        <v>2987.75</v>
      </c>
    </row>
    <row r="98" spans="1:9" ht="41.4" x14ac:dyDescent="0.3">
      <c r="A98" s="149">
        <v>89</v>
      </c>
      <c r="B98" s="161" t="s">
        <v>156</v>
      </c>
      <c r="C98" s="163" t="s">
        <v>394</v>
      </c>
      <c r="D98" s="163">
        <v>10711510</v>
      </c>
      <c r="E98" s="174" t="s">
        <v>395</v>
      </c>
      <c r="F98" s="150" t="s">
        <v>80</v>
      </c>
      <c r="G98" s="151">
        <v>25</v>
      </c>
      <c r="H98" s="151">
        <v>1700.92</v>
      </c>
      <c r="I98" s="151">
        <f t="shared" si="2"/>
        <v>42523</v>
      </c>
    </row>
    <row r="99" spans="1:9" ht="41.4" x14ac:dyDescent="0.3">
      <c r="A99" s="149">
        <v>90</v>
      </c>
      <c r="B99" s="161" t="s">
        <v>157</v>
      </c>
      <c r="C99" s="163" t="s">
        <v>394</v>
      </c>
      <c r="D99" s="163">
        <v>10727410</v>
      </c>
      <c r="E99" s="174" t="s">
        <v>396</v>
      </c>
      <c r="F99" s="150" t="s">
        <v>80</v>
      </c>
      <c r="G99" s="151">
        <v>24</v>
      </c>
      <c r="H99" s="151">
        <v>1366.64</v>
      </c>
      <c r="I99" s="151">
        <f t="shared" si="2"/>
        <v>32799.360000000001</v>
      </c>
    </row>
    <row r="100" spans="1:9" ht="55.2" x14ac:dyDescent="0.3">
      <c r="A100" s="169">
        <v>91</v>
      </c>
      <c r="B100" s="170" t="s">
        <v>158</v>
      </c>
      <c r="C100" s="171" t="s">
        <v>428</v>
      </c>
      <c r="D100" s="171">
        <v>455306</v>
      </c>
      <c r="E100" s="174" t="s">
        <v>446</v>
      </c>
      <c r="F100" s="150" t="s">
        <v>80</v>
      </c>
      <c r="G100" s="151">
        <v>2</v>
      </c>
      <c r="H100" s="151">
        <v>1230.1300000000001</v>
      </c>
      <c r="I100" s="151">
        <f t="shared" si="2"/>
        <v>2460.2600000000002</v>
      </c>
    </row>
    <row r="101" spans="1:9" ht="41.4" x14ac:dyDescent="0.3">
      <c r="A101" s="149">
        <v>92</v>
      </c>
      <c r="B101" s="161" t="s">
        <v>159</v>
      </c>
      <c r="C101" s="163" t="s">
        <v>371</v>
      </c>
      <c r="D101" s="163" t="s">
        <v>397</v>
      </c>
      <c r="E101" s="174" t="s">
        <v>398</v>
      </c>
      <c r="F101" s="150" t="s">
        <v>80</v>
      </c>
      <c r="G101" s="151">
        <v>3</v>
      </c>
      <c r="H101" s="151">
        <v>681.34</v>
      </c>
      <c r="I101" s="151">
        <f t="shared" si="2"/>
        <v>2044.02</v>
      </c>
    </row>
    <row r="102" spans="1:9" ht="27.6" x14ac:dyDescent="0.3">
      <c r="A102" s="149">
        <v>93</v>
      </c>
      <c r="B102" s="161" t="s">
        <v>160</v>
      </c>
      <c r="C102" s="163" t="s">
        <v>365</v>
      </c>
      <c r="D102" s="163" t="s">
        <v>399</v>
      </c>
      <c r="E102" s="174" t="s">
        <v>400</v>
      </c>
      <c r="F102" s="150" t="s">
        <v>80</v>
      </c>
      <c r="G102" s="151">
        <v>5</v>
      </c>
      <c r="H102" s="151">
        <v>467.21</v>
      </c>
      <c r="I102" s="151">
        <f t="shared" si="2"/>
        <v>2336.0499999999997</v>
      </c>
    </row>
    <row r="103" spans="1:9" ht="41.4" x14ac:dyDescent="0.3">
      <c r="A103" s="149">
        <v>94</v>
      </c>
      <c r="B103" s="161" t="s">
        <v>161</v>
      </c>
      <c r="C103" s="163" t="s">
        <v>330</v>
      </c>
      <c r="D103" s="163">
        <v>17301</v>
      </c>
      <c r="E103" s="174" t="s">
        <v>401</v>
      </c>
      <c r="F103" s="150" t="s">
        <v>80</v>
      </c>
      <c r="G103" s="151">
        <v>2</v>
      </c>
      <c r="H103" s="151">
        <v>1026.77</v>
      </c>
      <c r="I103" s="151">
        <f t="shared" si="2"/>
        <v>2053.54</v>
      </c>
    </row>
    <row r="104" spans="1:9" ht="41.4" x14ac:dyDescent="0.3">
      <c r="A104" s="149">
        <v>95</v>
      </c>
      <c r="B104" s="160" t="s">
        <v>299</v>
      </c>
      <c r="C104" s="163" t="s">
        <v>402</v>
      </c>
      <c r="D104" s="163" t="s">
        <v>436</v>
      </c>
      <c r="E104" s="174" t="s">
        <v>403</v>
      </c>
      <c r="F104" s="150" t="s">
        <v>80</v>
      </c>
      <c r="G104" s="151">
        <v>5</v>
      </c>
      <c r="H104" s="151">
        <v>68.56</v>
      </c>
      <c r="I104" s="151">
        <f t="shared" si="2"/>
        <v>342.8</v>
      </c>
    </row>
    <row r="105" spans="1:9" ht="27.6" x14ac:dyDescent="0.3">
      <c r="A105" s="149">
        <v>96</v>
      </c>
      <c r="B105" s="161" t="s">
        <v>162</v>
      </c>
      <c r="C105" s="163"/>
      <c r="D105" s="163"/>
      <c r="E105" s="174"/>
      <c r="F105" s="150" t="s">
        <v>80</v>
      </c>
      <c r="G105" s="151">
        <v>155</v>
      </c>
      <c r="H105" s="151">
        <v>106.63</v>
      </c>
      <c r="I105" s="151">
        <f t="shared" si="2"/>
        <v>16527.649999999998</v>
      </c>
    </row>
    <row r="106" spans="1:9" ht="55.2" x14ac:dyDescent="0.3">
      <c r="A106" s="149">
        <v>97</v>
      </c>
      <c r="B106" s="161" t="s">
        <v>163</v>
      </c>
      <c r="C106" s="163" t="s">
        <v>371</v>
      </c>
      <c r="D106" s="163" t="s">
        <v>437</v>
      </c>
      <c r="E106" s="174" t="s">
        <v>438</v>
      </c>
      <c r="F106" s="150" t="s">
        <v>80</v>
      </c>
      <c r="G106" s="151">
        <v>2</v>
      </c>
      <c r="H106" s="151">
        <v>576.41</v>
      </c>
      <c r="I106" s="151">
        <f t="shared" ref="I106:I137" si="3">G106*H106</f>
        <v>1152.82</v>
      </c>
    </row>
    <row r="107" spans="1:9" ht="41.4" x14ac:dyDescent="0.3">
      <c r="A107" s="149">
        <v>98</v>
      </c>
      <c r="B107" s="161" t="s">
        <v>164</v>
      </c>
      <c r="C107" s="163" t="s">
        <v>371</v>
      </c>
      <c r="D107" s="163" t="s">
        <v>404</v>
      </c>
      <c r="E107" s="174" t="s">
        <v>405</v>
      </c>
      <c r="F107" s="150" t="s">
        <v>80</v>
      </c>
      <c r="G107" s="151">
        <v>1</v>
      </c>
      <c r="H107" s="151">
        <v>1802.36</v>
      </c>
      <c r="I107" s="151">
        <f t="shared" si="3"/>
        <v>1802.36</v>
      </c>
    </row>
    <row r="108" spans="1:9" ht="27.6" x14ac:dyDescent="0.3">
      <c r="A108" s="149">
        <v>99</v>
      </c>
      <c r="B108" s="161" t="s">
        <v>165</v>
      </c>
      <c r="C108" s="163" t="s">
        <v>384</v>
      </c>
      <c r="D108" s="163" t="s">
        <v>406</v>
      </c>
      <c r="E108" s="174" t="s">
        <v>407</v>
      </c>
      <c r="F108" s="150" t="s">
        <v>80</v>
      </c>
      <c r="G108" s="151">
        <v>60</v>
      </c>
      <c r="H108" s="151">
        <v>530.66999999999996</v>
      </c>
      <c r="I108" s="151">
        <f t="shared" si="3"/>
        <v>31840.199999999997</v>
      </c>
    </row>
    <row r="109" spans="1:9" ht="27.6" x14ac:dyDescent="0.3">
      <c r="A109" s="149">
        <v>100</v>
      </c>
      <c r="B109" s="161" t="s">
        <v>166</v>
      </c>
      <c r="C109" s="163" t="s">
        <v>384</v>
      </c>
      <c r="D109" s="163" t="s">
        <v>408</v>
      </c>
      <c r="E109" s="174" t="s">
        <v>409</v>
      </c>
      <c r="F109" s="150" t="s">
        <v>80</v>
      </c>
      <c r="G109" s="151">
        <v>25</v>
      </c>
      <c r="H109" s="151">
        <v>96.7</v>
      </c>
      <c r="I109" s="151">
        <f t="shared" si="3"/>
        <v>2417.5</v>
      </c>
    </row>
    <row r="110" spans="1:9" ht="55.2" x14ac:dyDescent="0.3">
      <c r="A110" s="149">
        <v>101</v>
      </c>
      <c r="B110" s="161" t="s">
        <v>167</v>
      </c>
      <c r="C110" s="163" t="s">
        <v>387</v>
      </c>
      <c r="D110" s="163" t="s">
        <v>410</v>
      </c>
      <c r="E110" s="174" t="s">
        <v>411</v>
      </c>
      <c r="F110" s="150" t="s">
        <v>80</v>
      </c>
      <c r="G110" s="151">
        <v>70</v>
      </c>
      <c r="H110" s="151">
        <v>757.95</v>
      </c>
      <c r="I110" s="151">
        <f t="shared" si="3"/>
        <v>53056.5</v>
      </c>
    </row>
    <row r="111" spans="1:9" ht="41.4" x14ac:dyDescent="0.3">
      <c r="A111" s="149">
        <v>102</v>
      </c>
      <c r="B111" s="161" t="s">
        <v>168</v>
      </c>
      <c r="C111" s="163" t="s">
        <v>387</v>
      </c>
      <c r="D111" s="163">
        <v>2020</v>
      </c>
      <c r="E111" s="174" t="s">
        <v>412</v>
      </c>
      <c r="F111" s="150" t="s">
        <v>80</v>
      </c>
      <c r="G111" s="151">
        <v>2</v>
      </c>
      <c r="H111" s="151">
        <v>844.38</v>
      </c>
      <c r="I111" s="151">
        <f t="shared" si="3"/>
        <v>1688.76</v>
      </c>
    </row>
    <row r="112" spans="1:9" ht="27.6" x14ac:dyDescent="0.3">
      <c r="A112" s="149">
        <v>103</v>
      </c>
      <c r="B112" s="161" t="s">
        <v>169</v>
      </c>
      <c r="C112" s="163" t="s">
        <v>384</v>
      </c>
      <c r="D112" s="163" t="s">
        <v>413</v>
      </c>
      <c r="E112" s="174" t="s">
        <v>414</v>
      </c>
      <c r="F112" s="150" t="s">
        <v>80</v>
      </c>
      <c r="G112" s="151">
        <v>1</v>
      </c>
      <c r="H112" s="151">
        <v>1095.8699999999999</v>
      </c>
      <c r="I112" s="151">
        <f t="shared" si="3"/>
        <v>1095.8699999999999</v>
      </c>
    </row>
    <row r="113" spans="1:11" ht="41.4" x14ac:dyDescent="0.3">
      <c r="A113" s="149">
        <v>104</v>
      </c>
      <c r="B113" s="161" t="s">
        <v>170</v>
      </c>
      <c r="C113" s="163" t="s">
        <v>415</v>
      </c>
      <c r="D113" s="163" t="s">
        <v>416</v>
      </c>
      <c r="E113" s="174" t="s">
        <v>417</v>
      </c>
      <c r="F113" s="150" t="s">
        <v>80</v>
      </c>
      <c r="G113" s="151">
        <v>2</v>
      </c>
      <c r="H113" s="151">
        <v>520.80999999999995</v>
      </c>
      <c r="I113" s="151">
        <f t="shared" si="3"/>
        <v>1041.6199999999999</v>
      </c>
      <c r="K113" s="172"/>
    </row>
    <row r="114" spans="1:11" ht="27.6" x14ac:dyDescent="0.3">
      <c r="A114" s="149">
        <v>105</v>
      </c>
      <c r="B114" s="161" t="s">
        <v>171</v>
      </c>
      <c r="C114" s="163"/>
      <c r="D114" s="163"/>
      <c r="E114" s="161"/>
      <c r="F114" s="150" t="s">
        <v>80</v>
      </c>
      <c r="G114" s="151">
        <v>1</v>
      </c>
      <c r="H114" s="151">
        <v>3082.33</v>
      </c>
      <c r="I114" s="151">
        <f t="shared" si="3"/>
        <v>3082.33</v>
      </c>
    </row>
    <row r="115" spans="1:11" ht="41.4" x14ac:dyDescent="0.3">
      <c r="A115" s="149">
        <v>106</v>
      </c>
      <c r="B115" s="161" t="s">
        <v>172</v>
      </c>
      <c r="C115" s="163" t="s">
        <v>418</v>
      </c>
      <c r="D115" s="163" t="s">
        <v>419</v>
      </c>
      <c r="E115" s="174" t="s">
        <v>420</v>
      </c>
      <c r="F115" s="150" t="s">
        <v>80</v>
      </c>
      <c r="G115" s="151">
        <v>1</v>
      </c>
      <c r="H115" s="151">
        <v>5016.6899999999996</v>
      </c>
      <c r="I115" s="151">
        <f t="shared" si="3"/>
        <v>5016.6899999999996</v>
      </c>
    </row>
    <row r="116" spans="1:11" ht="41.4" x14ac:dyDescent="0.3">
      <c r="A116" s="149">
        <v>107</v>
      </c>
      <c r="B116" s="161" t="s">
        <v>173</v>
      </c>
      <c r="C116" s="163" t="s">
        <v>439</v>
      </c>
      <c r="D116" s="163" t="s">
        <v>440</v>
      </c>
      <c r="E116" s="174" t="s">
        <v>441</v>
      </c>
      <c r="F116" s="150" t="s">
        <v>80</v>
      </c>
      <c r="G116" s="151">
        <v>8</v>
      </c>
      <c r="H116" s="151">
        <v>1224.53</v>
      </c>
      <c r="I116" s="151">
        <f t="shared" si="3"/>
        <v>9796.24</v>
      </c>
    </row>
    <row r="117" spans="1:11" ht="27.6" x14ac:dyDescent="0.3">
      <c r="A117" s="149">
        <v>108</v>
      </c>
      <c r="B117" s="161" t="s">
        <v>174</v>
      </c>
      <c r="C117" s="163" t="s">
        <v>442</v>
      </c>
      <c r="D117" s="163" t="s">
        <v>443</v>
      </c>
      <c r="E117" s="174" t="s">
        <v>444</v>
      </c>
      <c r="F117" s="150" t="s">
        <v>80</v>
      </c>
      <c r="G117" s="151">
        <v>15</v>
      </c>
      <c r="H117" s="151">
        <v>1298.99</v>
      </c>
      <c r="I117" s="151">
        <f t="shared" si="3"/>
        <v>19484.849999999999</v>
      </c>
    </row>
    <row r="118" spans="1:11" ht="55.2" x14ac:dyDescent="0.3">
      <c r="A118" s="149">
        <v>109</v>
      </c>
      <c r="B118" s="161" t="s">
        <v>175</v>
      </c>
      <c r="C118" s="163" t="s">
        <v>371</v>
      </c>
      <c r="D118" s="163" t="s">
        <v>421</v>
      </c>
      <c r="E118" s="174" t="s">
        <v>422</v>
      </c>
      <c r="F118" s="150" t="s">
        <v>80</v>
      </c>
      <c r="G118" s="151">
        <v>64</v>
      </c>
      <c r="H118" s="151">
        <v>332.44</v>
      </c>
      <c r="I118" s="151">
        <f t="shared" si="3"/>
        <v>21276.16</v>
      </c>
    </row>
    <row r="119" spans="1:11" ht="27.6" x14ac:dyDescent="0.3">
      <c r="A119" s="149">
        <v>110</v>
      </c>
      <c r="B119" s="161" t="s">
        <v>176</v>
      </c>
      <c r="C119" s="163" t="s">
        <v>423</v>
      </c>
      <c r="D119" s="163" t="s">
        <v>424</v>
      </c>
      <c r="E119" s="174" t="s">
        <v>425</v>
      </c>
      <c r="F119" s="150" t="s">
        <v>80</v>
      </c>
      <c r="G119" s="151">
        <v>108</v>
      </c>
      <c r="H119" s="151">
        <v>37.61</v>
      </c>
      <c r="I119" s="151">
        <f t="shared" si="3"/>
        <v>4061.88</v>
      </c>
    </row>
    <row r="120" spans="1:11" ht="27.6" x14ac:dyDescent="0.3">
      <c r="A120" s="149">
        <v>111</v>
      </c>
      <c r="B120" s="161" t="s">
        <v>177</v>
      </c>
      <c r="C120" s="163" t="s">
        <v>423</v>
      </c>
      <c r="D120" s="163" t="s">
        <v>426</v>
      </c>
      <c r="E120" s="174" t="s">
        <v>427</v>
      </c>
      <c r="F120" s="150" t="s">
        <v>80</v>
      </c>
      <c r="G120" s="151">
        <v>135</v>
      </c>
      <c r="H120" s="151">
        <v>46.33</v>
      </c>
      <c r="I120" s="151">
        <f t="shared" si="3"/>
        <v>6254.55</v>
      </c>
    </row>
    <row r="121" spans="1:11" ht="41.4" x14ac:dyDescent="0.3">
      <c r="A121" s="149">
        <v>112</v>
      </c>
      <c r="B121" s="161" t="s">
        <v>178</v>
      </c>
      <c r="C121" s="163" t="s">
        <v>428</v>
      </c>
      <c r="D121" s="163">
        <v>158106</v>
      </c>
      <c r="E121" s="174" t="s">
        <v>429</v>
      </c>
      <c r="F121" s="150" t="s">
        <v>80</v>
      </c>
      <c r="G121" s="151">
        <v>75</v>
      </c>
      <c r="H121" s="151">
        <v>178.82</v>
      </c>
      <c r="I121" s="151">
        <f t="shared" si="3"/>
        <v>13411.5</v>
      </c>
    </row>
    <row r="122" spans="1:11" ht="27.6" x14ac:dyDescent="0.3">
      <c r="A122" s="149">
        <v>113</v>
      </c>
      <c r="B122" s="161" t="s">
        <v>179</v>
      </c>
      <c r="C122" s="163" t="s">
        <v>428</v>
      </c>
      <c r="D122" s="163">
        <v>158006</v>
      </c>
      <c r="E122" s="174" t="s">
        <v>430</v>
      </c>
      <c r="F122" s="150" t="s">
        <v>80</v>
      </c>
      <c r="G122" s="151">
        <v>75</v>
      </c>
      <c r="H122" s="151">
        <v>133.43</v>
      </c>
      <c r="I122" s="151">
        <f t="shared" si="3"/>
        <v>10007.25</v>
      </c>
    </row>
    <row r="123" spans="1:11" ht="27.6" x14ac:dyDescent="0.3">
      <c r="A123" s="149">
        <v>114</v>
      </c>
      <c r="B123" s="161" t="s">
        <v>180</v>
      </c>
      <c r="C123" s="163" t="s">
        <v>384</v>
      </c>
      <c r="D123" s="163" t="s">
        <v>431</v>
      </c>
      <c r="E123" s="174" t="s">
        <v>432</v>
      </c>
      <c r="F123" s="150" t="s">
        <v>80</v>
      </c>
      <c r="G123" s="151">
        <v>75</v>
      </c>
      <c r="H123" s="151">
        <v>68.55</v>
      </c>
      <c r="I123" s="151">
        <f t="shared" si="3"/>
        <v>5141.25</v>
      </c>
    </row>
    <row r="124" spans="1:11" ht="27.6" x14ac:dyDescent="0.3">
      <c r="A124" s="149">
        <v>115</v>
      </c>
      <c r="B124" s="161" t="s">
        <v>181</v>
      </c>
      <c r="C124" s="163" t="s">
        <v>428</v>
      </c>
      <c r="D124" s="163">
        <v>158306</v>
      </c>
      <c r="E124" s="174" t="s">
        <v>433</v>
      </c>
      <c r="F124" s="150" t="s">
        <v>80</v>
      </c>
      <c r="G124" s="151">
        <v>75</v>
      </c>
      <c r="H124" s="151">
        <v>133.43</v>
      </c>
      <c r="I124" s="151">
        <f t="shared" si="3"/>
        <v>10007.25</v>
      </c>
    </row>
    <row r="125" spans="1:11" ht="27.6" x14ac:dyDescent="0.3">
      <c r="A125" s="149">
        <v>116</v>
      </c>
      <c r="B125" s="161" t="s">
        <v>182</v>
      </c>
      <c r="C125" s="163" t="s">
        <v>384</v>
      </c>
      <c r="D125" s="163" t="s">
        <v>434</v>
      </c>
      <c r="E125" s="174" t="s">
        <v>435</v>
      </c>
      <c r="F125" s="150" t="s">
        <v>80</v>
      </c>
      <c r="G125" s="151">
        <v>75</v>
      </c>
      <c r="H125" s="151">
        <v>194.14</v>
      </c>
      <c r="I125" s="151">
        <f t="shared" si="3"/>
        <v>14560.499999999998</v>
      </c>
    </row>
    <row r="126" spans="1:11" ht="27.6" x14ac:dyDescent="0.3">
      <c r="A126" s="149">
        <v>117</v>
      </c>
      <c r="B126" s="161" t="s">
        <v>183</v>
      </c>
      <c r="C126" s="163"/>
      <c r="D126" s="163"/>
      <c r="E126" s="161"/>
      <c r="F126" s="150" t="s">
        <v>80</v>
      </c>
      <c r="G126" s="151">
        <v>25</v>
      </c>
      <c r="H126" s="151">
        <v>371.45</v>
      </c>
      <c r="I126" s="151">
        <f t="shared" si="3"/>
        <v>9286.25</v>
      </c>
    </row>
    <row r="127" spans="1:11" ht="41.4" x14ac:dyDescent="0.3">
      <c r="A127" s="149">
        <v>118</v>
      </c>
      <c r="B127" s="161" t="s">
        <v>184</v>
      </c>
      <c r="C127" s="163" t="s">
        <v>319</v>
      </c>
      <c r="D127" s="163" t="s">
        <v>320</v>
      </c>
      <c r="E127" s="174" t="s">
        <v>321</v>
      </c>
      <c r="F127" s="150" t="s">
        <v>1</v>
      </c>
      <c r="G127" s="151">
        <v>8484</v>
      </c>
      <c r="H127" s="151">
        <v>11.48</v>
      </c>
      <c r="I127" s="151">
        <f t="shared" si="3"/>
        <v>97396.32</v>
      </c>
    </row>
    <row r="128" spans="1:11" ht="41.4" x14ac:dyDescent="0.3">
      <c r="A128" s="149">
        <v>119</v>
      </c>
      <c r="B128" s="161" t="s">
        <v>185</v>
      </c>
      <c r="C128" s="163" t="s">
        <v>319</v>
      </c>
      <c r="D128" s="163" t="s">
        <v>320</v>
      </c>
      <c r="E128" s="174" t="s">
        <v>321</v>
      </c>
      <c r="F128" s="150" t="s">
        <v>1</v>
      </c>
      <c r="G128" s="151">
        <v>12180</v>
      </c>
      <c r="H128" s="151">
        <v>10.119999999999999</v>
      </c>
      <c r="I128" s="151">
        <f t="shared" si="3"/>
        <v>123261.59999999999</v>
      </c>
    </row>
    <row r="129" spans="1:9" ht="41.4" x14ac:dyDescent="0.3">
      <c r="A129" s="149">
        <v>120</v>
      </c>
      <c r="B129" s="161" t="s">
        <v>186</v>
      </c>
      <c r="C129" s="163" t="s">
        <v>319</v>
      </c>
      <c r="D129" s="163" t="s">
        <v>328</v>
      </c>
      <c r="E129" s="175" t="s">
        <v>449</v>
      </c>
      <c r="F129" s="150" t="s">
        <v>1</v>
      </c>
      <c r="G129" s="151">
        <v>4536</v>
      </c>
      <c r="H129" s="151">
        <v>13.21</v>
      </c>
      <c r="I129" s="151">
        <f t="shared" si="3"/>
        <v>59920.560000000005</v>
      </c>
    </row>
    <row r="130" spans="1:9" ht="41.4" x14ac:dyDescent="0.3">
      <c r="A130" s="149">
        <v>121</v>
      </c>
      <c r="B130" s="161" t="s">
        <v>187</v>
      </c>
      <c r="C130" s="163" t="s">
        <v>319</v>
      </c>
      <c r="D130" s="163" t="s">
        <v>328</v>
      </c>
      <c r="E130" s="175" t="s">
        <v>449</v>
      </c>
      <c r="F130" s="150" t="s">
        <v>1</v>
      </c>
      <c r="G130" s="151">
        <v>2508</v>
      </c>
      <c r="H130" s="151">
        <v>14.58</v>
      </c>
      <c r="I130" s="151">
        <f t="shared" si="3"/>
        <v>36566.639999999999</v>
      </c>
    </row>
    <row r="131" spans="1:9" ht="41.4" x14ac:dyDescent="0.3">
      <c r="A131" s="149">
        <v>122</v>
      </c>
      <c r="B131" s="161" t="s">
        <v>188</v>
      </c>
      <c r="C131" s="163" t="s">
        <v>319</v>
      </c>
      <c r="D131" s="163" t="s">
        <v>328</v>
      </c>
      <c r="E131" s="175" t="s">
        <v>449</v>
      </c>
      <c r="F131" s="150" t="s">
        <v>1</v>
      </c>
      <c r="G131" s="151">
        <v>1380</v>
      </c>
      <c r="H131" s="151">
        <v>13.52</v>
      </c>
      <c r="I131" s="151">
        <f t="shared" si="3"/>
        <v>18657.599999999999</v>
      </c>
    </row>
    <row r="132" spans="1:9" ht="43.2" x14ac:dyDescent="0.3">
      <c r="A132" s="149">
        <v>123</v>
      </c>
      <c r="B132" s="161" t="s">
        <v>189</v>
      </c>
      <c r="C132" s="163" t="s">
        <v>316</v>
      </c>
      <c r="D132" s="163" t="s">
        <v>317</v>
      </c>
      <c r="E132" s="175" t="s">
        <v>318</v>
      </c>
      <c r="F132" s="150" t="s">
        <v>1</v>
      </c>
      <c r="G132" s="151">
        <v>1274</v>
      </c>
      <c r="H132" s="151">
        <v>13.83</v>
      </c>
      <c r="I132" s="151">
        <f t="shared" si="3"/>
        <v>17619.420000000002</v>
      </c>
    </row>
    <row r="133" spans="1:9" ht="43.2" x14ac:dyDescent="0.3">
      <c r="A133" s="149">
        <v>124</v>
      </c>
      <c r="B133" s="161" t="s">
        <v>190</v>
      </c>
      <c r="C133" s="163" t="s">
        <v>314</v>
      </c>
      <c r="D133" s="163" t="s">
        <v>315</v>
      </c>
      <c r="E133" s="175" t="s">
        <v>313</v>
      </c>
      <c r="F133" s="150" t="s">
        <v>1</v>
      </c>
      <c r="G133" s="151">
        <v>996</v>
      </c>
      <c r="H133" s="151">
        <v>32.65</v>
      </c>
      <c r="I133" s="151">
        <f t="shared" si="3"/>
        <v>32519.399999999998</v>
      </c>
    </row>
    <row r="134" spans="1:9" ht="41.4" x14ac:dyDescent="0.3">
      <c r="A134" s="149">
        <v>125</v>
      </c>
      <c r="B134" s="160" t="s">
        <v>300</v>
      </c>
      <c r="C134" s="163" t="s">
        <v>319</v>
      </c>
      <c r="D134" s="163" t="s">
        <v>320</v>
      </c>
      <c r="E134" s="174" t="s">
        <v>321</v>
      </c>
      <c r="F134" s="150" t="s">
        <v>1</v>
      </c>
      <c r="G134" s="151">
        <v>4652</v>
      </c>
      <c r="H134" s="151">
        <v>10.96</v>
      </c>
      <c r="I134" s="151">
        <f t="shared" si="3"/>
        <v>50985.920000000006</v>
      </c>
    </row>
    <row r="135" spans="1:9" ht="41.4" x14ac:dyDescent="0.3">
      <c r="A135" s="149">
        <v>126</v>
      </c>
      <c r="B135" s="160" t="s">
        <v>301</v>
      </c>
      <c r="C135" s="163" t="s">
        <v>319</v>
      </c>
      <c r="D135" s="163" t="s">
        <v>320</v>
      </c>
      <c r="E135" s="174" t="s">
        <v>321</v>
      </c>
      <c r="F135" s="150" t="s">
        <v>1</v>
      </c>
      <c r="G135" s="151">
        <v>2959</v>
      </c>
      <c r="H135" s="151">
        <v>10.119999999999999</v>
      </c>
      <c r="I135" s="151">
        <f t="shared" si="3"/>
        <v>29945.079999999998</v>
      </c>
    </row>
    <row r="136" spans="1:9" ht="41.4" x14ac:dyDescent="0.3">
      <c r="A136" s="149">
        <v>127</v>
      </c>
      <c r="B136" s="161" t="s">
        <v>191</v>
      </c>
      <c r="C136" s="163" t="s">
        <v>319</v>
      </c>
      <c r="D136" s="163" t="s">
        <v>328</v>
      </c>
      <c r="E136" s="175" t="s">
        <v>449</v>
      </c>
      <c r="F136" s="150" t="s">
        <v>1</v>
      </c>
      <c r="G136" s="151">
        <v>685</v>
      </c>
      <c r="H136" s="151">
        <v>13.52</v>
      </c>
      <c r="I136" s="151">
        <f t="shared" si="3"/>
        <v>9261.1999999999989</v>
      </c>
    </row>
    <row r="137" spans="1:9" ht="43.2" x14ac:dyDescent="0.3">
      <c r="A137" s="149">
        <v>128</v>
      </c>
      <c r="B137" s="160" t="s">
        <v>302</v>
      </c>
      <c r="C137" s="163" t="s">
        <v>308</v>
      </c>
      <c r="D137" s="163" t="s">
        <v>307</v>
      </c>
      <c r="E137" s="175" t="s">
        <v>306</v>
      </c>
      <c r="F137" s="150" t="s">
        <v>1</v>
      </c>
      <c r="G137" s="151">
        <v>3249</v>
      </c>
      <c r="H137" s="151">
        <v>11.49</v>
      </c>
      <c r="I137" s="151">
        <f t="shared" si="3"/>
        <v>37331.01</v>
      </c>
    </row>
    <row r="138" spans="1:9" ht="43.2" x14ac:dyDescent="0.3">
      <c r="A138" s="149">
        <v>129</v>
      </c>
      <c r="B138" s="161" t="s">
        <v>309</v>
      </c>
      <c r="C138" s="163" t="s">
        <v>312</v>
      </c>
      <c r="D138" s="163" t="s">
        <v>311</v>
      </c>
      <c r="E138" s="175" t="s">
        <v>310</v>
      </c>
      <c r="F138" s="150" t="s">
        <v>9</v>
      </c>
      <c r="G138" s="151">
        <v>743</v>
      </c>
      <c r="H138" s="151">
        <v>11.19</v>
      </c>
      <c r="I138" s="151">
        <f t="shared" ref="I138:I143" si="4">G138*H138</f>
        <v>8314.17</v>
      </c>
    </row>
    <row r="139" spans="1:9" x14ac:dyDescent="0.3">
      <c r="A139" s="149">
        <v>130</v>
      </c>
      <c r="B139" s="160" t="s">
        <v>303</v>
      </c>
      <c r="C139" s="166"/>
      <c r="D139" s="166"/>
      <c r="E139" s="160"/>
      <c r="F139" s="150" t="s">
        <v>1</v>
      </c>
      <c r="G139" s="151">
        <v>5850</v>
      </c>
      <c r="H139" s="151">
        <v>14.34</v>
      </c>
      <c r="I139" s="151">
        <f t="shared" si="4"/>
        <v>83889</v>
      </c>
    </row>
    <row r="140" spans="1:9" ht="28.8" x14ac:dyDescent="0.3">
      <c r="A140" s="149">
        <v>131</v>
      </c>
      <c r="B140" s="161" t="s">
        <v>192</v>
      </c>
      <c r="C140" s="163" t="s">
        <v>339</v>
      </c>
      <c r="D140" s="163" t="s">
        <v>340</v>
      </c>
      <c r="E140" s="175" t="s">
        <v>445</v>
      </c>
      <c r="F140" s="150" t="s">
        <v>1</v>
      </c>
      <c r="G140" s="151">
        <v>5850</v>
      </c>
      <c r="H140" s="151">
        <v>53.71</v>
      </c>
      <c r="I140" s="151">
        <f t="shared" si="4"/>
        <v>314203.5</v>
      </c>
    </row>
    <row r="141" spans="1:9" ht="28.8" x14ac:dyDescent="0.3">
      <c r="A141" s="149">
        <v>132</v>
      </c>
      <c r="B141" s="160" t="s">
        <v>304</v>
      </c>
      <c r="C141" s="166" t="s">
        <v>339</v>
      </c>
      <c r="D141" s="166" t="s">
        <v>340</v>
      </c>
      <c r="E141" s="175" t="s">
        <v>445</v>
      </c>
      <c r="F141" s="150" t="s">
        <v>9</v>
      </c>
      <c r="G141" s="151">
        <v>41</v>
      </c>
      <c r="H141" s="151">
        <v>13.4</v>
      </c>
      <c r="I141" s="151">
        <f t="shared" si="4"/>
        <v>549.4</v>
      </c>
    </row>
    <row r="142" spans="1:9" ht="28.8" x14ac:dyDescent="0.3">
      <c r="A142" s="149">
        <v>133</v>
      </c>
      <c r="B142" s="161" t="s">
        <v>193</v>
      </c>
      <c r="C142" s="163" t="s">
        <v>339</v>
      </c>
      <c r="D142" s="163" t="s">
        <v>340</v>
      </c>
      <c r="E142" s="175" t="s">
        <v>445</v>
      </c>
      <c r="F142" s="150" t="s">
        <v>9</v>
      </c>
      <c r="G142" s="151">
        <v>10</v>
      </c>
      <c r="H142" s="151">
        <v>36.39</v>
      </c>
      <c r="I142" s="151">
        <f t="shared" si="4"/>
        <v>363.9</v>
      </c>
    </row>
    <row r="143" spans="1:9" ht="27.6" x14ac:dyDescent="0.3">
      <c r="A143" s="149">
        <v>134</v>
      </c>
      <c r="B143" s="161" t="s">
        <v>194</v>
      </c>
      <c r="C143" s="163"/>
      <c r="D143" s="163"/>
      <c r="E143" s="161"/>
      <c r="F143" s="150" t="s">
        <v>1</v>
      </c>
      <c r="G143" s="151">
        <v>900</v>
      </c>
      <c r="H143" s="151">
        <v>45.59</v>
      </c>
      <c r="I143" s="151">
        <f t="shared" si="4"/>
        <v>41031</v>
      </c>
    </row>
    <row r="144" spans="1:9" x14ac:dyDescent="0.3">
      <c r="A144" s="152"/>
      <c r="B144" s="162" t="s">
        <v>195</v>
      </c>
      <c r="C144" s="167"/>
      <c r="D144" s="167"/>
      <c r="E144" s="176"/>
      <c r="F144" s="153"/>
      <c r="G144" s="154"/>
      <c r="H144" s="155"/>
      <c r="I144" s="151">
        <f>SUM(I10:I143)</f>
        <v>2444033.3200000008</v>
      </c>
    </row>
  </sheetData>
  <autoFilter ref="A8:I144"/>
  <hyperlinks>
    <hyperlink ref="E21" r:id="rId1"/>
    <hyperlink ref="E137" r:id="rId2"/>
    <hyperlink ref="E138" r:id="rId3"/>
    <hyperlink ref="E133" r:id="rId4"/>
    <hyperlink ref="E132" r:id="rId5"/>
    <hyperlink ref="E129" r:id="rId6"/>
    <hyperlink ref="E130" r:id="rId7"/>
    <hyperlink ref="E131" r:id="rId8"/>
    <hyperlink ref="E136" r:id="rId9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2" orientation="landscape" r:id="rId10"/>
  <rowBreaks count="2" manualBreakCount="2">
    <brk id="113" max="8" man="1"/>
    <brk id="135" max="16383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J20" sqref="J20"/>
    </sheetView>
  </sheetViews>
  <sheetFormatPr defaultRowHeight="14.4" x14ac:dyDescent="0.3"/>
  <cols>
    <col min="1" max="1" width="13.109375" bestFit="1" customWidth="1"/>
    <col min="4" max="4" width="13.6640625" bestFit="1" customWidth="1"/>
  </cols>
  <sheetData>
    <row r="1" spans="1:4" x14ac:dyDescent="0.3">
      <c r="B1" t="s">
        <v>77</v>
      </c>
      <c r="C1" t="s">
        <v>78</v>
      </c>
      <c r="D1" t="s">
        <v>79</v>
      </c>
    </row>
    <row r="2" spans="1:4" x14ac:dyDescent="0.3">
      <c r="A2" t="s">
        <v>74</v>
      </c>
      <c r="B2" s="2">
        <v>1130.1400000000001</v>
      </c>
      <c r="C2" s="2">
        <f>B2*1.84</f>
        <v>2079.4576000000002</v>
      </c>
      <c r="D2" s="3">
        <f>ROUND(C2/220,2)+0.01</f>
        <v>9.4599999999999991</v>
      </c>
    </row>
    <row r="3" spans="1:4" x14ac:dyDescent="0.3">
      <c r="A3" t="s">
        <v>75</v>
      </c>
      <c r="B3" s="2">
        <v>1246.3000000000002</v>
      </c>
      <c r="C3" s="2">
        <f>B3*1.84</f>
        <v>2293.1920000000005</v>
      </c>
      <c r="D3" s="3">
        <f t="shared" ref="D3:D4" si="0">ROUND(C3/220,2)+0.01</f>
        <v>10.43</v>
      </c>
    </row>
    <row r="4" spans="1:4" x14ac:dyDescent="0.3">
      <c r="A4" t="s">
        <v>76</v>
      </c>
      <c r="B4" s="2">
        <v>1742.4</v>
      </c>
      <c r="C4" s="2">
        <f>B4*1.84</f>
        <v>3206.0160000000005</v>
      </c>
      <c r="D4" s="3">
        <f t="shared" si="0"/>
        <v>14.58</v>
      </c>
    </row>
    <row r="5" spans="1:4" x14ac:dyDescent="0.3">
      <c r="B5" s="1">
        <v>2500</v>
      </c>
      <c r="C5" s="2">
        <f>B5*1.84</f>
        <v>4600</v>
      </c>
      <c r="D5" s="3">
        <f t="shared" ref="D5" si="1">ROUND(C5/220,2)+0.01</f>
        <v>20.92</v>
      </c>
    </row>
    <row r="6" spans="1:4" x14ac:dyDescent="0.3">
      <c r="B6" s="1"/>
      <c r="C6" s="1"/>
      <c r="D6" s="1"/>
    </row>
    <row r="7" spans="1:4" x14ac:dyDescent="0.3">
      <c r="B7" s="1">
        <v>4</v>
      </c>
      <c r="C7" s="1">
        <f>C2</f>
        <v>2079.4576000000002</v>
      </c>
      <c r="D7" s="1">
        <f>B7*C7</f>
        <v>8317.8304000000007</v>
      </c>
    </row>
    <row r="8" spans="1:4" x14ac:dyDescent="0.3">
      <c r="B8" s="1">
        <v>4</v>
      </c>
      <c r="C8" s="1">
        <f>C4</f>
        <v>3206.0160000000005</v>
      </c>
      <c r="D8" s="1">
        <f t="shared" ref="D8:D9" si="2">B8*C8</f>
        <v>12824.064000000002</v>
      </c>
    </row>
    <row r="9" spans="1:4" x14ac:dyDescent="0.3">
      <c r="B9" s="1">
        <v>1</v>
      </c>
      <c r="C9" s="1">
        <f>C5</f>
        <v>4600</v>
      </c>
      <c r="D9" s="1">
        <f t="shared" si="2"/>
        <v>4600</v>
      </c>
    </row>
    <row r="10" spans="1:4" x14ac:dyDescent="0.3">
      <c r="B10" s="2"/>
      <c r="C10" s="2"/>
      <c r="D10" s="2"/>
    </row>
    <row r="11" spans="1:4" x14ac:dyDescent="0.3">
      <c r="D11" s="139">
        <f>SUM(D7:D10)</f>
        <v>25741.894400000005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4"/>
  <sheetViews>
    <sheetView showGridLines="0" zoomScaleNormal="100" workbookViewId="0">
      <pane ySplit="1" topLeftCell="A45" activePane="bottomLeft" state="frozen"/>
      <selection pane="bottomLeft" activeCell="I4" sqref="I4:I163"/>
    </sheetView>
  </sheetViews>
  <sheetFormatPr defaultColWidth="34.5546875" defaultRowHeight="13.8" x14ac:dyDescent="0.3"/>
  <cols>
    <col min="1" max="1" width="10.33203125" style="20" customWidth="1"/>
    <col min="2" max="2" width="16.33203125" style="20" bestFit="1" customWidth="1"/>
    <col min="3" max="3" width="74.33203125" style="35" customWidth="1"/>
    <col min="4" max="4" width="8.109375" style="20" bestFit="1" customWidth="1"/>
    <col min="5" max="5" width="11" style="20" customWidth="1"/>
    <col min="6" max="6" width="16.109375" style="19" bestFit="1" customWidth="1"/>
    <col min="7" max="7" width="14.109375" style="19" bestFit="1" customWidth="1"/>
    <col min="8" max="8" width="15.33203125" style="19" bestFit="1" customWidth="1"/>
    <col min="9" max="9" width="10" style="110" bestFit="1" customWidth="1"/>
    <col min="10" max="16384" width="34.5546875" style="98"/>
  </cols>
  <sheetData>
    <row r="1" spans="1:9" s="113" customFormat="1" ht="14.4" x14ac:dyDescent="0.3">
      <c r="A1" s="114" t="s">
        <v>7</v>
      </c>
      <c r="B1" s="114" t="s">
        <v>266</v>
      </c>
      <c r="C1" s="115" t="s">
        <v>90</v>
      </c>
      <c r="D1" s="114"/>
      <c r="E1" s="114" t="s">
        <v>6</v>
      </c>
      <c r="F1" s="116" t="s">
        <v>197</v>
      </c>
      <c r="G1" s="117" t="s">
        <v>196</v>
      </c>
      <c r="H1" s="123" t="s">
        <v>198</v>
      </c>
      <c r="I1" s="138"/>
    </row>
    <row r="2" spans="1:9" s="111" customFormat="1" ht="20.25" hidden="1" customHeight="1" x14ac:dyDescent="0.3">
      <c r="A2" s="78">
        <v>15</v>
      </c>
      <c r="B2" s="78"/>
      <c r="C2" s="79" t="s">
        <v>265</v>
      </c>
      <c r="D2" s="51" t="s">
        <v>0</v>
      </c>
      <c r="E2" s="51" t="s">
        <v>9</v>
      </c>
      <c r="F2" s="24">
        <v>1</v>
      </c>
      <c r="G2" s="24"/>
      <c r="H2" s="121">
        <f>SUM(H3:H7)</f>
        <v>75.306779080124883</v>
      </c>
      <c r="I2" s="137">
        <f>VLOOKUP(A2,'PLANILHA CD'!$A$10:$I$143,4,0)</f>
        <v>0</v>
      </c>
    </row>
    <row r="3" spans="1:9" hidden="1" x14ac:dyDescent="0.3">
      <c r="A3" s="107">
        <f>A2</f>
        <v>15</v>
      </c>
      <c r="B3" s="21"/>
      <c r="C3" s="49" t="s">
        <v>264</v>
      </c>
      <c r="D3" s="21" t="s">
        <v>5</v>
      </c>
      <c r="E3" s="21" t="s">
        <v>9</v>
      </c>
      <c r="F3" s="112">
        <v>1.1000000000000001</v>
      </c>
      <c r="G3" s="22">
        <v>48</v>
      </c>
      <c r="H3" s="108">
        <f t="shared" ref="H3:H7" si="0">F3*G3</f>
        <v>52.800000000000004</v>
      </c>
    </row>
    <row r="4" spans="1:9" x14ac:dyDescent="0.3">
      <c r="A4" s="107">
        <f t="shared" ref="A4:A5" si="1">A3</f>
        <v>15</v>
      </c>
      <c r="B4" s="21" t="s">
        <v>260</v>
      </c>
      <c r="C4" s="109" t="s">
        <v>261</v>
      </c>
      <c r="D4" s="21" t="s">
        <v>0</v>
      </c>
      <c r="E4" s="21" t="s">
        <v>2</v>
      </c>
      <c r="F4" s="112">
        <v>0.75</v>
      </c>
      <c r="G4" s="17">
        <v>14.58</v>
      </c>
      <c r="H4" s="108">
        <f t="shared" si="0"/>
        <v>10.935</v>
      </c>
      <c r="I4" s="110">
        <f>$I$2*F4</f>
        <v>0</v>
      </c>
    </row>
    <row r="5" spans="1:9" hidden="1" x14ac:dyDescent="0.3">
      <c r="A5" s="107">
        <f t="shared" si="1"/>
        <v>15</v>
      </c>
      <c r="B5" s="6">
        <v>7307</v>
      </c>
      <c r="C5" s="7" t="s">
        <v>21</v>
      </c>
      <c r="D5" s="6" t="s">
        <v>5</v>
      </c>
      <c r="E5" s="6" t="s">
        <v>19</v>
      </c>
      <c r="F5" s="17">
        <v>0.24</v>
      </c>
      <c r="G5" s="17">
        <f>57.728/20</f>
        <v>2.8864000000000001</v>
      </c>
      <c r="H5" s="108">
        <f t="shared" si="0"/>
        <v>0.69273600000000002</v>
      </c>
    </row>
    <row r="6" spans="1:9" hidden="1" x14ac:dyDescent="0.3">
      <c r="A6" s="107">
        <f>A4</f>
        <v>15</v>
      </c>
      <c r="B6" s="21" t="s">
        <v>3</v>
      </c>
      <c r="C6" s="109" t="s">
        <v>4</v>
      </c>
      <c r="D6" s="21" t="s">
        <v>0</v>
      </c>
      <c r="E6" s="21" t="s">
        <v>2</v>
      </c>
      <c r="F6" s="112">
        <v>1.1499999999999999</v>
      </c>
      <c r="G6" s="17">
        <v>9.4600000000000009</v>
      </c>
      <c r="H6" s="108">
        <f t="shared" si="0"/>
        <v>10.879</v>
      </c>
      <c r="I6" s="110">
        <f>$I$2*F6</f>
        <v>0</v>
      </c>
    </row>
    <row r="7" spans="1:9" hidden="1" x14ac:dyDescent="0.3">
      <c r="A7" s="126">
        <f>A6</f>
        <v>15</v>
      </c>
      <c r="B7" s="127"/>
      <c r="C7" s="128" t="s">
        <v>268</v>
      </c>
      <c r="D7" s="127" t="s">
        <v>5</v>
      </c>
      <c r="E7" s="127" t="s">
        <v>262</v>
      </c>
      <c r="F7" s="129">
        <f>(0.01*0.01*1)/0.31</f>
        <v>3.2258064516129032E-4</v>
      </c>
      <c r="G7" s="130">
        <f>41.4/310</f>
        <v>0.13354838709677419</v>
      </c>
      <c r="H7" s="124">
        <f t="shared" si="0"/>
        <v>4.3080124869927157E-5</v>
      </c>
    </row>
    <row r="8" spans="1:9" s="111" customFormat="1" ht="20.25" hidden="1" customHeight="1" x14ac:dyDescent="0.3">
      <c r="A8" s="78">
        <v>16</v>
      </c>
      <c r="B8" s="78"/>
      <c r="C8" s="79" t="s">
        <v>254</v>
      </c>
      <c r="D8" s="51" t="s">
        <v>0</v>
      </c>
      <c r="E8" s="51" t="s">
        <v>9</v>
      </c>
      <c r="F8" s="24">
        <v>1</v>
      </c>
      <c r="G8" s="24"/>
      <c r="H8" s="121">
        <f>SUM(H9:H16)</f>
        <v>72.538736000000014</v>
      </c>
      <c r="I8" s="137">
        <f>VLOOKUP(A8,'PLANILHA CD'!$A$10:$I$143,4,0)</f>
        <v>0</v>
      </c>
    </row>
    <row r="9" spans="1:9" hidden="1" x14ac:dyDescent="0.3">
      <c r="A9" s="107">
        <f>A8</f>
        <v>16</v>
      </c>
      <c r="B9" s="21" t="s">
        <v>3</v>
      </c>
      <c r="C9" s="109" t="s">
        <v>256</v>
      </c>
      <c r="D9" s="21" t="s">
        <v>0</v>
      </c>
      <c r="E9" s="21" t="s">
        <v>2</v>
      </c>
      <c r="F9" s="112">
        <v>0.4</v>
      </c>
      <c r="G9" s="17">
        <v>14.58</v>
      </c>
      <c r="H9" s="108">
        <f t="shared" ref="H9:H16" si="2">F9*G9</f>
        <v>5.8320000000000007</v>
      </c>
      <c r="I9" s="110">
        <f>$I$8*F9</f>
        <v>0</v>
      </c>
    </row>
    <row r="10" spans="1:9" x14ac:dyDescent="0.3">
      <c r="A10" s="107">
        <f t="shared" ref="A10:A16" si="3">A9</f>
        <v>16</v>
      </c>
      <c r="B10" s="21" t="s">
        <v>255</v>
      </c>
      <c r="C10" s="109" t="s">
        <v>257</v>
      </c>
      <c r="D10" s="21" t="s">
        <v>0</v>
      </c>
      <c r="E10" s="21" t="s">
        <v>2</v>
      </c>
      <c r="F10" s="112">
        <v>0.4</v>
      </c>
      <c r="G10" s="17">
        <v>9.4600000000000009</v>
      </c>
      <c r="H10" s="108">
        <f t="shared" si="2"/>
        <v>3.7840000000000007</v>
      </c>
      <c r="I10" s="110">
        <f t="shared" ref="I10:I12" si="4">$I$8*F10</f>
        <v>0</v>
      </c>
    </row>
    <row r="11" spans="1:9" hidden="1" x14ac:dyDescent="0.3">
      <c r="A11" s="107">
        <f t="shared" si="3"/>
        <v>16</v>
      </c>
      <c r="B11" s="21" t="s">
        <v>3</v>
      </c>
      <c r="C11" s="109" t="s">
        <v>258</v>
      </c>
      <c r="D11" s="21" t="s">
        <v>0</v>
      </c>
      <c r="E11" s="21" t="s">
        <v>2</v>
      </c>
      <c r="F11" s="112">
        <v>0.4</v>
      </c>
      <c r="G11" s="17">
        <v>14.58</v>
      </c>
      <c r="H11" s="108">
        <f t="shared" si="2"/>
        <v>5.8320000000000007</v>
      </c>
      <c r="I11" s="110">
        <f t="shared" si="4"/>
        <v>0</v>
      </c>
    </row>
    <row r="12" spans="1:9" x14ac:dyDescent="0.3">
      <c r="A12" s="107">
        <f t="shared" si="3"/>
        <v>16</v>
      </c>
      <c r="B12" s="21" t="s">
        <v>255</v>
      </c>
      <c r="C12" s="109" t="s">
        <v>259</v>
      </c>
      <c r="D12" s="21" t="s">
        <v>0</v>
      </c>
      <c r="E12" s="21" t="s">
        <v>2</v>
      </c>
      <c r="F12" s="112">
        <v>0.4</v>
      </c>
      <c r="G12" s="17">
        <v>9.4600000000000009</v>
      </c>
      <c r="H12" s="108">
        <f t="shared" si="2"/>
        <v>3.7840000000000007</v>
      </c>
      <c r="I12" s="110">
        <f t="shared" si="4"/>
        <v>0</v>
      </c>
    </row>
    <row r="13" spans="1:9" hidden="1" x14ac:dyDescent="0.3">
      <c r="A13" s="107">
        <f t="shared" si="3"/>
        <v>16</v>
      </c>
      <c r="B13" s="21"/>
      <c r="C13" s="49" t="s">
        <v>263</v>
      </c>
      <c r="D13" s="21" t="s">
        <v>5</v>
      </c>
      <c r="E13" s="21" t="s">
        <v>9</v>
      </c>
      <c r="F13" s="112">
        <v>1.1000000000000001</v>
      </c>
      <c r="G13" s="22">
        <v>28</v>
      </c>
      <c r="H13" s="108">
        <f t="shared" si="2"/>
        <v>30.800000000000004</v>
      </c>
    </row>
    <row r="14" spans="1:9" x14ac:dyDescent="0.3">
      <c r="A14" s="107">
        <f t="shared" si="3"/>
        <v>16</v>
      </c>
      <c r="B14" s="21" t="s">
        <v>260</v>
      </c>
      <c r="C14" s="109" t="s">
        <v>261</v>
      </c>
      <c r="D14" s="21" t="s">
        <v>0</v>
      </c>
      <c r="E14" s="21" t="s">
        <v>2</v>
      </c>
      <c r="F14" s="112">
        <v>0.75</v>
      </c>
      <c r="G14" s="17">
        <v>14.58</v>
      </c>
      <c r="H14" s="108">
        <f t="shared" si="2"/>
        <v>10.935</v>
      </c>
      <c r="I14" s="110">
        <f>$I$8*F14</f>
        <v>0</v>
      </c>
    </row>
    <row r="15" spans="1:9" hidden="1" x14ac:dyDescent="0.3">
      <c r="A15" s="107">
        <f t="shared" si="3"/>
        <v>16</v>
      </c>
      <c r="B15" s="21" t="s">
        <v>3</v>
      </c>
      <c r="C15" s="109" t="s">
        <v>4</v>
      </c>
      <c r="D15" s="21" t="s">
        <v>0</v>
      </c>
      <c r="E15" s="21" t="s">
        <v>2</v>
      </c>
      <c r="F15" s="112">
        <v>1.1499999999999999</v>
      </c>
      <c r="G15" s="17">
        <v>9.4600000000000009</v>
      </c>
      <c r="H15" s="108">
        <f t="shared" si="2"/>
        <v>10.879</v>
      </c>
      <c r="I15" s="110">
        <f>$I$8*F15</f>
        <v>0</v>
      </c>
    </row>
    <row r="16" spans="1:9" hidden="1" x14ac:dyDescent="0.3">
      <c r="A16" s="107">
        <f t="shared" si="3"/>
        <v>16</v>
      </c>
      <c r="B16" s="6">
        <v>7307</v>
      </c>
      <c r="C16" s="7" t="s">
        <v>21</v>
      </c>
      <c r="D16" s="6" t="s">
        <v>5</v>
      </c>
      <c r="E16" s="6" t="s">
        <v>19</v>
      </c>
      <c r="F16" s="17">
        <v>0.24</v>
      </c>
      <c r="G16" s="17">
        <f>57.728/20</f>
        <v>2.8864000000000001</v>
      </c>
      <c r="H16" s="108">
        <f t="shared" si="2"/>
        <v>0.69273600000000002</v>
      </c>
    </row>
    <row r="17" spans="1:9" ht="27.6" hidden="1" x14ac:dyDescent="0.3">
      <c r="A17" s="51">
        <v>36</v>
      </c>
      <c r="B17" s="51" t="s">
        <v>15</v>
      </c>
      <c r="C17" s="52" t="s">
        <v>16</v>
      </c>
      <c r="D17" s="51" t="s">
        <v>0</v>
      </c>
      <c r="E17" s="51" t="s">
        <v>1</v>
      </c>
      <c r="F17" s="24">
        <v>1</v>
      </c>
      <c r="G17" s="24"/>
      <c r="H17" s="121">
        <f>SUM(H18:H23)</f>
        <v>20.374668000000003</v>
      </c>
      <c r="I17" s="137" t="str">
        <f>VLOOKUP(A17,'PLANILHA CD'!$A$10:$I$143,4,0)</f>
        <v>ESMALTE PREMIUM PLUS</v>
      </c>
    </row>
    <row r="18" spans="1:9" hidden="1" x14ac:dyDescent="0.3">
      <c r="A18" s="40">
        <v>36</v>
      </c>
      <c r="B18" s="57">
        <v>3768</v>
      </c>
      <c r="C18" s="58" t="s">
        <v>17</v>
      </c>
      <c r="D18" s="57" t="s">
        <v>5</v>
      </c>
      <c r="E18" s="57" t="s">
        <v>6</v>
      </c>
      <c r="F18" s="59">
        <v>0.3</v>
      </c>
      <c r="G18" s="59">
        <v>2.85</v>
      </c>
      <c r="H18" s="42">
        <f t="shared" ref="H18:H23" si="5">F18*G18</f>
        <v>0.85499999999999998</v>
      </c>
    </row>
    <row r="19" spans="1:9" hidden="1" x14ac:dyDescent="0.3">
      <c r="A19" s="5">
        <v>36</v>
      </c>
      <c r="B19" s="6">
        <v>5318</v>
      </c>
      <c r="C19" s="7" t="s">
        <v>18</v>
      </c>
      <c r="D19" s="6" t="s">
        <v>5</v>
      </c>
      <c r="E19" s="6" t="s">
        <v>19</v>
      </c>
      <c r="F19" s="17">
        <v>0.03</v>
      </c>
      <c r="G19" s="17">
        <f>31.95/5</f>
        <v>6.39</v>
      </c>
      <c r="H19" s="108">
        <f t="shared" si="5"/>
        <v>0.19169999999999998</v>
      </c>
    </row>
    <row r="20" spans="1:9" hidden="1" x14ac:dyDescent="0.3">
      <c r="A20" s="5">
        <v>36</v>
      </c>
      <c r="B20" s="6">
        <v>7292</v>
      </c>
      <c r="C20" s="7" t="s">
        <v>20</v>
      </c>
      <c r="D20" s="6" t="s">
        <v>5</v>
      </c>
      <c r="E20" s="6" t="s">
        <v>19</v>
      </c>
      <c r="F20" s="17">
        <v>0.14399999999999999</v>
      </c>
      <c r="G20" s="17">
        <f>89.9/3.6</f>
        <v>24.972222222222221</v>
      </c>
      <c r="H20" s="108">
        <f t="shared" si="5"/>
        <v>3.5959999999999996</v>
      </c>
    </row>
    <row r="21" spans="1:9" hidden="1" x14ac:dyDescent="0.3">
      <c r="A21" s="5">
        <v>36</v>
      </c>
      <c r="B21" s="6">
        <v>7307</v>
      </c>
      <c r="C21" s="7" t="s">
        <v>21</v>
      </c>
      <c r="D21" s="6" t="s">
        <v>5</v>
      </c>
      <c r="E21" s="6" t="s">
        <v>19</v>
      </c>
      <c r="F21" s="17">
        <v>0.12</v>
      </c>
      <c r="G21" s="17">
        <f>57.728/20</f>
        <v>2.8864000000000001</v>
      </c>
      <c r="H21" s="108">
        <f t="shared" si="5"/>
        <v>0.34636800000000001</v>
      </c>
    </row>
    <row r="22" spans="1:9" x14ac:dyDescent="0.3">
      <c r="A22" s="5">
        <v>36</v>
      </c>
      <c r="B22" s="6" t="s">
        <v>22</v>
      </c>
      <c r="C22" s="7" t="s">
        <v>23</v>
      </c>
      <c r="D22" s="6" t="s">
        <v>0</v>
      </c>
      <c r="E22" s="6" t="s">
        <v>2</v>
      </c>
      <c r="F22" s="45">
        <f>0.8*(0.8)</f>
        <v>0.64000000000000012</v>
      </c>
      <c r="G22" s="17">
        <v>14.58</v>
      </c>
      <c r="H22" s="108">
        <f t="shared" si="5"/>
        <v>9.3312000000000026</v>
      </c>
      <c r="I22" s="110" t="e">
        <f>$I$17*F22</f>
        <v>#VALUE!</v>
      </c>
    </row>
    <row r="23" spans="1:9" hidden="1" x14ac:dyDescent="0.3">
      <c r="A23" s="5">
        <v>36</v>
      </c>
      <c r="B23" s="6" t="s">
        <v>3</v>
      </c>
      <c r="C23" s="7" t="s">
        <v>4</v>
      </c>
      <c r="D23" s="6" t="s">
        <v>0</v>
      </c>
      <c r="E23" s="6" t="s">
        <v>2</v>
      </c>
      <c r="F23" s="45">
        <f>0.8*(0.8)</f>
        <v>0.64000000000000012</v>
      </c>
      <c r="G23" s="17">
        <v>9.4600000000000009</v>
      </c>
      <c r="H23" s="108">
        <f t="shared" si="5"/>
        <v>6.054400000000002</v>
      </c>
      <c r="I23" s="110" t="e">
        <f>$I$17*F23</f>
        <v>#VALUE!</v>
      </c>
    </row>
    <row r="24" spans="1:9" ht="27.6" hidden="1" x14ac:dyDescent="0.3">
      <c r="A24" s="51">
        <v>38</v>
      </c>
      <c r="B24" s="51" t="s">
        <v>24</v>
      </c>
      <c r="C24" s="52" t="s">
        <v>25</v>
      </c>
      <c r="D24" s="51" t="s">
        <v>0</v>
      </c>
      <c r="E24" s="51" t="s">
        <v>1</v>
      </c>
      <c r="F24" s="24">
        <v>1</v>
      </c>
      <c r="G24" s="24"/>
      <c r="H24" s="121">
        <f>SUM(H25:H29)</f>
        <v>9.4308665000000023</v>
      </c>
      <c r="I24" s="137">
        <f>VLOOKUP(A24,'PLANILHA CD'!$A$10:$I$143,4,0)</f>
        <v>0</v>
      </c>
    </row>
    <row r="25" spans="1:9" hidden="1" x14ac:dyDescent="0.3">
      <c r="A25" s="40">
        <v>38</v>
      </c>
      <c r="B25" s="57">
        <v>1379</v>
      </c>
      <c r="C25" s="58" t="s">
        <v>26</v>
      </c>
      <c r="D25" s="57" t="s">
        <v>5</v>
      </c>
      <c r="E25" s="57" t="s">
        <v>8</v>
      </c>
      <c r="F25" s="59">
        <v>0.5</v>
      </c>
      <c r="G25" s="59">
        <v>0.4</v>
      </c>
      <c r="H25" s="42">
        <f t="shared" ref="H25:H29" si="6">F25*G25</f>
        <v>0.2</v>
      </c>
    </row>
    <row r="26" spans="1:9" hidden="1" x14ac:dyDescent="0.3">
      <c r="A26" s="5">
        <v>38</v>
      </c>
      <c r="B26" s="6">
        <v>7334</v>
      </c>
      <c r="C26" s="7" t="s">
        <v>27</v>
      </c>
      <c r="D26" s="6" t="s">
        <v>5</v>
      </c>
      <c r="E26" s="6" t="s">
        <v>19</v>
      </c>
      <c r="F26" s="17">
        <v>0.435</v>
      </c>
      <c r="G26" s="17">
        <v>9.4700000000000006</v>
      </c>
      <c r="H26" s="108">
        <f t="shared" si="6"/>
        <v>4.1194500000000005</v>
      </c>
    </row>
    <row r="27" spans="1:9" hidden="1" x14ac:dyDescent="0.3">
      <c r="A27" s="5">
        <v>38</v>
      </c>
      <c r="B27" s="6" t="s">
        <v>28</v>
      </c>
      <c r="C27" s="7" t="s">
        <v>29</v>
      </c>
      <c r="D27" s="6" t="s">
        <v>0</v>
      </c>
      <c r="E27" s="6" t="s">
        <v>8</v>
      </c>
      <c r="F27" s="17">
        <v>4.3099999999999999E-2</v>
      </c>
      <c r="G27" s="17">
        <f>12.6/40</f>
        <v>0.315</v>
      </c>
      <c r="H27" s="108">
        <f t="shared" si="6"/>
        <v>1.35765E-2</v>
      </c>
    </row>
    <row r="28" spans="1:9" x14ac:dyDescent="0.3">
      <c r="A28" s="5">
        <v>38</v>
      </c>
      <c r="B28" s="6" t="s">
        <v>10</v>
      </c>
      <c r="C28" s="7" t="s">
        <v>11</v>
      </c>
      <c r="D28" s="6" t="s">
        <v>0</v>
      </c>
      <c r="E28" s="6" t="s">
        <v>2</v>
      </c>
      <c r="F28" s="45">
        <f>0.33*(0.8)</f>
        <v>0.26400000000000001</v>
      </c>
      <c r="G28" s="17">
        <v>14.58</v>
      </c>
      <c r="H28" s="108">
        <f t="shared" si="6"/>
        <v>3.8491200000000001</v>
      </c>
      <c r="I28" s="110">
        <f>$I$24*F28</f>
        <v>0</v>
      </c>
    </row>
    <row r="29" spans="1:9" hidden="1" x14ac:dyDescent="0.3">
      <c r="A29" s="46">
        <v>38</v>
      </c>
      <c r="B29" s="53" t="s">
        <v>3</v>
      </c>
      <c r="C29" s="54" t="s">
        <v>4</v>
      </c>
      <c r="D29" s="53" t="s">
        <v>0</v>
      </c>
      <c r="E29" s="53" t="s">
        <v>2</v>
      </c>
      <c r="F29" s="133">
        <f>0.165*(0.8)</f>
        <v>0.13200000000000001</v>
      </c>
      <c r="G29" s="55">
        <v>9.4600000000000009</v>
      </c>
      <c r="H29" s="47">
        <f t="shared" si="6"/>
        <v>1.2487200000000003</v>
      </c>
      <c r="I29" s="110">
        <f>$I$24*F29</f>
        <v>0</v>
      </c>
    </row>
    <row r="30" spans="1:9" ht="27.6" hidden="1" x14ac:dyDescent="0.3">
      <c r="A30" s="51">
        <v>40</v>
      </c>
      <c r="B30" s="51" t="s">
        <v>30</v>
      </c>
      <c r="C30" s="52" t="s">
        <v>31</v>
      </c>
      <c r="D30" s="51" t="s">
        <v>0</v>
      </c>
      <c r="E30" s="51" t="s">
        <v>1</v>
      </c>
      <c r="F30" s="24">
        <v>1</v>
      </c>
      <c r="G30" s="24"/>
      <c r="H30" s="121">
        <f>SUM(H31:H35)</f>
        <v>31.389489140000002</v>
      </c>
      <c r="I30" s="137">
        <f>VLOOKUP(A30,'PLANILHA CD'!$A$10:$I$143,4,0)</f>
        <v>0</v>
      </c>
    </row>
    <row r="31" spans="1:9" hidden="1" x14ac:dyDescent="0.3">
      <c r="A31" s="40">
        <f>A30</f>
        <v>40</v>
      </c>
      <c r="B31" s="57">
        <v>1379</v>
      </c>
      <c r="C31" s="58" t="s">
        <v>26</v>
      </c>
      <c r="D31" s="57" t="s">
        <v>5</v>
      </c>
      <c r="E31" s="57" t="s">
        <v>8</v>
      </c>
      <c r="F31" s="59">
        <v>28.755483000000002</v>
      </c>
      <c r="G31" s="59">
        <v>0.4</v>
      </c>
      <c r="H31" s="42">
        <f t="shared" ref="H31:H35" si="7">F31*G31</f>
        <v>11.502193200000001</v>
      </c>
    </row>
    <row r="32" spans="1:9" hidden="1" x14ac:dyDescent="0.3">
      <c r="A32" s="37">
        <f t="shared" ref="A32:A35" si="8">A31</f>
        <v>40</v>
      </c>
      <c r="B32" s="38">
        <v>370</v>
      </c>
      <c r="C32" s="39" t="s">
        <v>208</v>
      </c>
      <c r="D32" s="38" t="s">
        <v>5</v>
      </c>
      <c r="E32" s="38" t="s">
        <v>12</v>
      </c>
      <c r="F32" s="41">
        <v>9.9811000000000011E-2</v>
      </c>
      <c r="G32" s="41">
        <v>70</v>
      </c>
      <c r="H32" s="108">
        <f t="shared" si="7"/>
        <v>6.9867700000000008</v>
      </c>
    </row>
    <row r="33" spans="1:9" hidden="1" x14ac:dyDescent="0.3">
      <c r="A33" s="37">
        <f t="shared" si="8"/>
        <v>40</v>
      </c>
      <c r="B33" s="38" t="s">
        <v>3</v>
      </c>
      <c r="C33" s="39" t="s">
        <v>4</v>
      </c>
      <c r="D33" s="38" t="s">
        <v>0</v>
      </c>
      <c r="E33" s="38" t="s">
        <v>2</v>
      </c>
      <c r="F33" s="41">
        <v>0.75948900000000008</v>
      </c>
      <c r="G33" s="41">
        <v>9.4600000000000009</v>
      </c>
      <c r="H33" s="108">
        <f t="shared" si="7"/>
        <v>7.184765940000001</v>
      </c>
      <c r="I33" s="110">
        <f>$I$30*F33</f>
        <v>0</v>
      </c>
    </row>
    <row r="34" spans="1:9" x14ac:dyDescent="0.3">
      <c r="A34" s="37">
        <f t="shared" si="8"/>
        <v>40</v>
      </c>
      <c r="B34" s="38" t="s">
        <v>10</v>
      </c>
      <c r="C34" s="39" t="s">
        <v>11</v>
      </c>
      <c r="D34" s="38" t="s">
        <v>0</v>
      </c>
      <c r="E34" s="38" t="s">
        <v>2</v>
      </c>
      <c r="F34" s="89">
        <f>0.37*(0.8)</f>
        <v>0.29599999999999999</v>
      </c>
      <c r="G34" s="41">
        <v>14.58</v>
      </c>
      <c r="H34" s="108">
        <f t="shared" si="7"/>
        <v>4.3156799999999995</v>
      </c>
      <c r="I34" s="110">
        <f t="shared" ref="I34:I35" si="9">$I$30*F34</f>
        <v>0</v>
      </c>
    </row>
    <row r="35" spans="1:9" hidden="1" x14ac:dyDescent="0.3">
      <c r="A35" s="37">
        <f t="shared" si="8"/>
        <v>40</v>
      </c>
      <c r="B35" s="38" t="s">
        <v>3</v>
      </c>
      <c r="C35" s="39" t="s">
        <v>4</v>
      </c>
      <c r="D35" s="38" t="s">
        <v>0</v>
      </c>
      <c r="E35" s="38" t="s">
        <v>2</v>
      </c>
      <c r="F35" s="89">
        <f>0.185*(0.8)</f>
        <v>0.14799999999999999</v>
      </c>
      <c r="G35" s="41">
        <v>9.4600000000000009</v>
      </c>
      <c r="H35" s="108">
        <f t="shared" si="7"/>
        <v>1.40008</v>
      </c>
      <c r="I35" s="110">
        <f t="shared" si="9"/>
        <v>0</v>
      </c>
    </row>
    <row r="36" spans="1:9" ht="27.6" hidden="1" x14ac:dyDescent="0.3">
      <c r="A36" s="51">
        <v>43</v>
      </c>
      <c r="B36" s="51" t="s">
        <v>34</v>
      </c>
      <c r="C36" s="52" t="s">
        <v>200</v>
      </c>
      <c r="D36" s="51" t="s">
        <v>0</v>
      </c>
      <c r="E36" s="51" t="s">
        <v>1</v>
      </c>
      <c r="F36" s="24">
        <v>1</v>
      </c>
      <c r="G36" s="24"/>
      <c r="H36" s="121">
        <f>SUMIF(A37:A161,A36,H37:H161)</f>
        <v>119.55076000000001</v>
      </c>
      <c r="I36" s="137" t="str">
        <f>VLOOKUP(A36,'PLANILHA CD'!$A$10:$I$143,4,0)</f>
        <v>PORTLAND HD GR</v>
      </c>
    </row>
    <row r="37" spans="1:9" hidden="1" x14ac:dyDescent="0.3">
      <c r="A37" s="40">
        <f>A36</f>
        <v>43</v>
      </c>
      <c r="B37" s="81">
        <v>34357</v>
      </c>
      <c r="C37" s="82" t="s">
        <v>33</v>
      </c>
      <c r="D37" s="81" t="s">
        <v>5</v>
      </c>
      <c r="E37" s="81" t="s">
        <v>8</v>
      </c>
      <c r="F37" s="77">
        <v>0.14000000000000001</v>
      </c>
      <c r="G37" s="77">
        <v>4.37</v>
      </c>
      <c r="H37" s="124">
        <f t="shared" ref="H37:H43" si="10">F37*G37</f>
        <v>0.61180000000000012</v>
      </c>
    </row>
    <row r="38" spans="1:9" hidden="1" x14ac:dyDescent="0.3">
      <c r="A38" s="5">
        <f t="shared" ref="A38:A43" si="11">A37</f>
        <v>43</v>
      </c>
      <c r="B38" s="81">
        <v>37595</v>
      </c>
      <c r="C38" s="82" t="s">
        <v>35</v>
      </c>
      <c r="D38" s="81" t="s">
        <v>5</v>
      </c>
      <c r="E38" s="81" t="s">
        <v>8</v>
      </c>
      <c r="F38" s="77">
        <v>8.6199999999999992</v>
      </c>
      <c r="G38" s="77">
        <f>35.12/20</f>
        <v>1.7559999999999998</v>
      </c>
      <c r="H38" s="124">
        <f t="shared" si="10"/>
        <v>15.136719999999997</v>
      </c>
    </row>
    <row r="39" spans="1:9" hidden="1" x14ac:dyDescent="0.3">
      <c r="A39" s="5">
        <f t="shared" si="11"/>
        <v>43</v>
      </c>
      <c r="B39" s="16">
        <v>38195</v>
      </c>
      <c r="C39" s="36" t="s">
        <v>214</v>
      </c>
      <c r="D39" s="16" t="s">
        <v>5</v>
      </c>
      <c r="E39" s="16" t="s">
        <v>1</v>
      </c>
      <c r="F39" s="17">
        <v>1.08</v>
      </c>
      <c r="G39" s="17">
        <v>81</v>
      </c>
      <c r="H39" s="108">
        <f t="shared" si="10"/>
        <v>87.48</v>
      </c>
    </row>
    <row r="40" spans="1:9" x14ac:dyDescent="0.3">
      <c r="A40" s="5">
        <f t="shared" si="11"/>
        <v>43</v>
      </c>
      <c r="B40" s="16" t="s">
        <v>13</v>
      </c>
      <c r="C40" s="36" t="s">
        <v>14</v>
      </c>
      <c r="D40" s="16" t="s">
        <v>0</v>
      </c>
      <c r="E40" s="16" t="s">
        <v>2</v>
      </c>
      <c r="F40" s="45">
        <f>0.7*(0.8)</f>
        <v>0.55999999999999994</v>
      </c>
      <c r="G40" s="17">
        <v>14.58</v>
      </c>
      <c r="H40" s="108">
        <f t="shared" si="10"/>
        <v>8.1647999999999996</v>
      </c>
      <c r="I40" s="110" t="e">
        <f>$I$36*F40</f>
        <v>#VALUE!</v>
      </c>
    </row>
    <row r="41" spans="1:9" ht="14.25" hidden="1" customHeight="1" x14ac:dyDescent="0.3">
      <c r="A41" s="5">
        <f t="shared" si="11"/>
        <v>43</v>
      </c>
      <c r="B41" s="16" t="s">
        <v>3</v>
      </c>
      <c r="C41" s="36" t="s">
        <v>4</v>
      </c>
      <c r="D41" s="16" t="s">
        <v>0</v>
      </c>
      <c r="E41" s="16" t="s">
        <v>2</v>
      </c>
      <c r="F41" s="45">
        <f>0.27*(0.8)</f>
        <v>0.21600000000000003</v>
      </c>
      <c r="G41" s="17">
        <v>9.4600000000000009</v>
      </c>
      <c r="H41" s="108">
        <f t="shared" si="10"/>
        <v>2.0433600000000003</v>
      </c>
      <c r="I41" s="110" t="e">
        <f t="shared" ref="I41:I43" si="12">$I$36*F41</f>
        <v>#VALUE!</v>
      </c>
    </row>
    <row r="42" spans="1:9" ht="14.25" customHeight="1" x14ac:dyDescent="0.3">
      <c r="A42" s="5">
        <f t="shared" si="11"/>
        <v>43</v>
      </c>
      <c r="B42" s="16" t="s">
        <v>36</v>
      </c>
      <c r="C42" s="36" t="s">
        <v>201</v>
      </c>
      <c r="D42" s="16" t="s">
        <v>37</v>
      </c>
      <c r="E42" s="16" t="s">
        <v>2</v>
      </c>
      <c r="F42" s="45">
        <f>0.07*(0.8)</f>
        <v>5.6000000000000008E-2</v>
      </c>
      <c r="G42" s="17">
        <v>14.58</v>
      </c>
      <c r="H42" s="108">
        <f t="shared" si="10"/>
        <v>0.81648000000000009</v>
      </c>
      <c r="I42" s="110" t="e">
        <f t="shared" si="12"/>
        <v>#VALUE!</v>
      </c>
    </row>
    <row r="43" spans="1:9" ht="14.25" hidden="1" customHeight="1" x14ac:dyDescent="0.3">
      <c r="A43" s="5">
        <f t="shared" si="11"/>
        <v>43</v>
      </c>
      <c r="B43" s="16" t="s">
        <v>38</v>
      </c>
      <c r="C43" s="36" t="s">
        <v>202</v>
      </c>
      <c r="D43" s="16" t="s">
        <v>37</v>
      </c>
      <c r="E43" s="16" t="s">
        <v>2</v>
      </c>
      <c r="F43" s="45">
        <f>0.7*(0.8)</f>
        <v>0.55999999999999994</v>
      </c>
      <c r="G43" s="17">
        <v>9.4600000000000009</v>
      </c>
      <c r="H43" s="108">
        <f t="shared" si="10"/>
        <v>5.2976000000000001</v>
      </c>
      <c r="I43" s="110" t="e">
        <f t="shared" si="12"/>
        <v>#VALUE!</v>
      </c>
    </row>
    <row r="44" spans="1:9" ht="25.5" hidden="1" customHeight="1" x14ac:dyDescent="0.3">
      <c r="A44" s="51">
        <v>56</v>
      </c>
      <c r="B44" s="51" t="s">
        <v>203</v>
      </c>
      <c r="C44" s="52" t="s">
        <v>211</v>
      </c>
      <c r="D44" s="51" t="s">
        <v>0</v>
      </c>
      <c r="E44" s="51" t="s">
        <v>1</v>
      </c>
      <c r="F44" s="24">
        <v>1</v>
      </c>
      <c r="G44" s="24"/>
      <c r="H44" s="121">
        <f>SUM(H45:H47)</f>
        <v>7.8967040000000015</v>
      </c>
      <c r="I44" s="137">
        <f>VLOOKUP(A44,'PLANILHA CD'!$A$10:$I$143,4,0)</f>
        <v>0</v>
      </c>
    </row>
    <row r="45" spans="1:9" x14ac:dyDescent="0.3">
      <c r="A45" s="40">
        <v>56</v>
      </c>
      <c r="B45" s="57" t="s">
        <v>205</v>
      </c>
      <c r="C45" s="58" t="s">
        <v>201</v>
      </c>
      <c r="D45" s="60" t="s">
        <v>37</v>
      </c>
      <c r="E45" s="57" t="s">
        <v>2</v>
      </c>
      <c r="F45" s="61">
        <f>0.54*(0.8)</f>
        <v>0.43200000000000005</v>
      </c>
      <c r="G45" s="59">
        <v>14.58</v>
      </c>
      <c r="H45" s="42">
        <f t="shared" ref="H45:H47" si="13">F45*G45</f>
        <v>6.298560000000001</v>
      </c>
      <c r="I45" s="110">
        <f>$I$44*F45</f>
        <v>0</v>
      </c>
    </row>
    <row r="46" spans="1:9" hidden="1" x14ac:dyDescent="0.3">
      <c r="A46" s="15">
        <v>56</v>
      </c>
      <c r="B46" s="16" t="s">
        <v>205</v>
      </c>
      <c r="C46" s="7" t="s">
        <v>4</v>
      </c>
      <c r="D46" s="25" t="s">
        <v>37</v>
      </c>
      <c r="E46" s="21" t="s">
        <v>2</v>
      </c>
      <c r="F46" s="112">
        <f>0.07*(0.8)</f>
        <v>5.6000000000000008E-2</v>
      </c>
      <c r="G46" s="22">
        <v>9.4600000000000009</v>
      </c>
      <c r="H46" s="108">
        <f t="shared" si="13"/>
        <v>0.52976000000000012</v>
      </c>
      <c r="I46" s="110">
        <f>$I$44*F46</f>
        <v>0</v>
      </c>
    </row>
    <row r="47" spans="1:9" ht="27.6" hidden="1" x14ac:dyDescent="0.3">
      <c r="A47" s="15">
        <v>56</v>
      </c>
      <c r="B47" s="16" t="s">
        <v>205</v>
      </c>
      <c r="C47" s="7" t="s">
        <v>204</v>
      </c>
      <c r="D47" s="25" t="s">
        <v>0</v>
      </c>
      <c r="E47" s="21" t="s">
        <v>8</v>
      </c>
      <c r="F47" s="50">
        <v>3.3387000000000002</v>
      </c>
      <c r="G47" s="50">
        <f>12.8/40</f>
        <v>0.32</v>
      </c>
      <c r="H47" s="108">
        <f t="shared" si="13"/>
        <v>1.068384</v>
      </c>
    </row>
    <row r="48" spans="1:9" ht="41.4" hidden="1" x14ac:dyDescent="0.3">
      <c r="A48" s="78">
        <v>59</v>
      </c>
      <c r="B48" s="78" t="s">
        <v>39</v>
      </c>
      <c r="C48" s="79" t="s">
        <v>213</v>
      </c>
      <c r="D48" s="78" t="s">
        <v>0</v>
      </c>
      <c r="E48" s="78" t="s">
        <v>1</v>
      </c>
      <c r="F48" s="23">
        <v>1</v>
      </c>
      <c r="G48" s="80"/>
      <c r="H48" s="121">
        <f>SUM(H49:H53)</f>
        <v>75.397229999999993</v>
      </c>
      <c r="I48" s="137" t="str">
        <f>VLOOKUP(A48,'PLANILHA CD'!$A$10:$I$143,4,0)</f>
        <v>WHITE PLAIN MATTE</v>
      </c>
    </row>
    <row r="49" spans="1:9" hidden="1" x14ac:dyDescent="0.3">
      <c r="A49" s="5">
        <v>59</v>
      </c>
      <c r="B49" s="6">
        <v>1381</v>
      </c>
      <c r="C49" s="8" t="s">
        <v>32</v>
      </c>
      <c r="D49" s="83" t="s">
        <v>5</v>
      </c>
      <c r="E49" s="83" t="s">
        <v>8</v>
      </c>
      <c r="F49" s="84">
        <v>4.8600000000000003</v>
      </c>
      <c r="G49" s="85">
        <f>9.17/20</f>
        <v>0.45850000000000002</v>
      </c>
      <c r="H49" s="124">
        <f t="shared" ref="H49:H53" si="14">F49*G49</f>
        <v>2.2283100000000005</v>
      </c>
    </row>
    <row r="50" spans="1:9" hidden="1" x14ac:dyDescent="0.3">
      <c r="A50" s="5">
        <v>59</v>
      </c>
      <c r="B50" s="6">
        <v>34357</v>
      </c>
      <c r="C50" s="8" t="s">
        <v>33</v>
      </c>
      <c r="D50" s="83" t="s">
        <v>5</v>
      </c>
      <c r="E50" s="83" t="s">
        <v>8</v>
      </c>
      <c r="F50" s="84">
        <v>0.42</v>
      </c>
      <c r="G50" s="85">
        <v>4.37</v>
      </c>
      <c r="H50" s="124">
        <f t="shared" si="14"/>
        <v>1.8353999999999999</v>
      </c>
    </row>
    <row r="51" spans="1:9" hidden="1" x14ac:dyDescent="0.3">
      <c r="A51" s="5">
        <v>59</v>
      </c>
      <c r="B51" s="6">
        <v>536</v>
      </c>
      <c r="C51" s="8" t="s">
        <v>215</v>
      </c>
      <c r="D51" s="83" t="s">
        <v>5</v>
      </c>
      <c r="E51" s="83" t="s">
        <v>1</v>
      </c>
      <c r="F51" s="84">
        <v>1.06</v>
      </c>
      <c r="G51" s="85">
        <v>56.66</v>
      </c>
      <c r="H51" s="124">
        <f t="shared" si="14"/>
        <v>60.059599999999996</v>
      </c>
    </row>
    <row r="52" spans="1:9" x14ac:dyDescent="0.3">
      <c r="A52" s="5">
        <v>59</v>
      </c>
      <c r="B52" s="6" t="s">
        <v>13</v>
      </c>
      <c r="C52" s="7" t="s">
        <v>14</v>
      </c>
      <c r="D52" s="6" t="s">
        <v>0</v>
      </c>
      <c r="E52" s="6" t="s">
        <v>2</v>
      </c>
      <c r="F52" s="45">
        <f>0.72*(0.8)</f>
        <v>0.57599999999999996</v>
      </c>
      <c r="G52" s="12">
        <v>14.58</v>
      </c>
      <c r="H52" s="108">
        <f t="shared" si="14"/>
        <v>8.3980800000000002</v>
      </c>
      <c r="I52" s="110" t="e">
        <f>$I$48*F52</f>
        <v>#VALUE!</v>
      </c>
    </row>
    <row r="53" spans="1:9" hidden="1" x14ac:dyDescent="0.3">
      <c r="A53" s="5">
        <v>59</v>
      </c>
      <c r="B53" s="6" t="s">
        <v>3</v>
      </c>
      <c r="C53" s="7" t="s">
        <v>4</v>
      </c>
      <c r="D53" s="6" t="s">
        <v>0</v>
      </c>
      <c r="E53" s="6" t="s">
        <v>2</v>
      </c>
      <c r="F53" s="45">
        <f>0.38*(0.8)</f>
        <v>0.30400000000000005</v>
      </c>
      <c r="G53" s="12">
        <v>9.4600000000000009</v>
      </c>
      <c r="H53" s="108">
        <f t="shared" si="14"/>
        <v>2.8758400000000006</v>
      </c>
      <c r="I53" s="110" t="e">
        <f>$I$48*F53</f>
        <v>#VALUE!</v>
      </c>
    </row>
    <row r="54" spans="1:9" s="111" customFormat="1" ht="23.25" hidden="1" customHeight="1" x14ac:dyDescent="0.3">
      <c r="A54" s="118">
        <v>63</v>
      </c>
      <c r="B54" s="119" t="s">
        <v>269</v>
      </c>
      <c r="C54" s="120" t="s">
        <v>270</v>
      </c>
      <c r="D54" s="119" t="s">
        <v>0</v>
      </c>
      <c r="E54" s="119" t="s">
        <v>1</v>
      </c>
      <c r="F54" s="125">
        <v>1</v>
      </c>
      <c r="G54" s="122">
        <v>14.8</v>
      </c>
      <c r="H54" s="121">
        <f>SUM(H55:H57)</f>
        <v>10.4496</v>
      </c>
      <c r="I54" s="137">
        <f>VLOOKUP(A54,'PLANILHA CD'!$A$10:$I$143,4,0)</f>
        <v>0</v>
      </c>
    </row>
    <row r="55" spans="1:9" hidden="1" x14ac:dyDescent="0.3">
      <c r="A55" s="5">
        <f>A54</f>
        <v>63</v>
      </c>
      <c r="B55" s="6">
        <v>13</v>
      </c>
      <c r="C55" s="7" t="s">
        <v>271</v>
      </c>
      <c r="D55" s="6" t="s">
        <v>5</v>
      </c>
      <c r="E55" s="6" t="s">
        <v>8</v>
      </c>
      <c r="F55" s="13">
        <v>9.5000000000000001E-2</v>
      </c>
      <c r="G55" s="12">
        <v>9.89</v>
      </c>
      <c r="H55" s="108">
        <f t="shared" ref="H55:H57" si="15">F55*G55</f>
        <v>0.93955000000000011</v>
      </c>
    </row>
    <row r="56" spans="1:9" hidden="1" x14ac:dyDescent="0.3">
      <c r="A56" s="5">
        <f t="shared" ref="A56:A57" si="16">A55</f>
        <v>63</v>
      </c>
      <c r="B56" s="6">
        <v>3</v>
      </c>
      <c r="C56" s="7" t="s">
        <v>272</v>
      </c>
      <c r="D56" s="6" t="s">
        <v>5</v>
      </c>
      <c r="E56" s="6" t="s">
        <v>19</v>
      </c>
      <c r="F56" s="13">
        <v>0.11</v>
      </c>
      <c r="G56" s="12">
        <v>3.895</v>
      </c>
      <c r="H56" s="108">
        <f t="shared" si="15"/>
        <v>0.42845</v>
      </c>
    </row>
    <row r="57" spans="1:9" hidden="1" x14ac:dyDescent="0.3">
      <c r="A57" s="5">
        <f t="shared" si="16"/>
        <v>63</v>
      </c>
      <c r="B57" s="6" t="s">
        <v>3</v>
      </c>
      <c r="C57" s="7" t="s">
        <v>4</v>
      </c>
      <c r="D57" s="6" t="s">
        <v>0</v>
      </c>
      <c r="E57" s="6" t="s">
        <v>2</v>
      </c>
      <c r="F57" s="13">
        <f>0.8*1.2</f>
        <v>0.96</v>
      </c>
      <c r="G57" s="44">
        <v>9.4600000000000009</v>
      </c>
      <c r="H57" s="108">
        <f t="shared" si="15"/>
        <v>9.0815999999999999</v>
      </c>
      <c r="I57" s="110">
        <f>$I$54*F57</f>
        <v>0</v>
      </c>
    </row>
    <row r="58" spans="1:9" ht="25.5" hidden="1" customHeight="1" x14ac:dyDescent="0.3">
      <c r="A58" s="51">
        <v>69</v>
      </c>
      <c r="B58" s="51" t="s">
        <v>41</v>
      </c>
      <c r="C58" s="52" t="s">
        <v>48</v>
      </c>
      <c r="D58" s="51" t="s">
        <v>0</v>
      </c>
      <c r="E58" s="51" t="s">
        <v>6</v>
      </c>
      <c r="F58" s="24">
        <v>1</v>
      </c>
      <c r="G58" s="24"/>
      <c r="H58" s="121">
        <f>SUM(H59:H65)</f>
        <v>408.14923799999997</v>
      </c>
      <c r="I58" s="137">
        <f>VLOOKUP(A58,'PLANILHA CD'!$A$10:$I$143,4,0)</f>
        <v>0</v>
      </c>
    </row>
    <row r="59" spans="1:9" ht="17.25" hidden="1" customHeight="1" x14ac:dyDescent="0.3">
      <c r="A59" s="9">
        <v>69</v>
      </c>
      <c r="B59" s="75">
        <v>11795</v>
      </c>
      <c r="C59" s="49" t="s">
        <v>212</v>
      </c>
      <c r="D59" s="75" t="s">
        <v>5</v>
      </c>
      <c r="E59" s="75" t="s">
        <v>1</v>
      </c>
      <c r="F59" s="76">
        <v>1</v>
      </c>
      <c r="G59" s="76">
        <v>330</v>
      </c>
      <c r="H59" s="124">
        <f t="shared" ref="H59:H65" si="17">F59*G59</f>
        <v>330</v>
      </c>
    </row>
    <row r="60" spans="1:9" hidden="1" x14ac:dyDescent="0.3">
      <c r="A60" s="9">
        <v>69</v>
      </c>
      <c r="B60" s="75">
        <v>37329</v>
      </c>
      <c r="C60" s="49" t="s">
        <v>42</v>
      </c>
      <c r="D60" s="75" t="s">
        <v>5</v>
      </c>
      <c r="E60" s="75" t="s">
        <v>8</v>
      </c>
      <c r="F60" s="76">
        <v>2.5700000000000001E-2</v>
      </c>
      <c r="G60" s="76">
        <v>51.1</v>
      </c>
      <c r="H60" s="124">
        <f t="shared" si="17"/>
        <v>1.3132700000000002</v>
      </c>
    </row>
    <row r="61" spans="1:9" ht="27.6" hidden="1" x14ac:dyDescent="0.3">
      <c r="A61" s="9">
        <v>69</v>
      </c>
      <c r="B61" s="75">
        <v>37590</v>
      </c>
      <c r="C61" s="49" t="s">
        <v>43</v>
      </c>
      <c r="D61" s="75" t="s">
        <v>5</v>
      </c>
      <c r="E61" s="75" t="s">
        <v>6</v>
      </c>
      <c r="F61" s="76">
        <v>2</v>
      </c>
      <c r="G61" s="76">
        <v>15.49</v>
      </c>
      <c r="H61" s="124">
        <f t="shared" si="17"/>
        <v>30.98</v>
      </c>
    </row>
    <row r="62" spans="1:9" hidden="1" x14ac:dyDescent="0.3">
      <c r="A62" s="9">
        <v>69</v>
      </c>
      <c r="B62" s="75">
        <v>4823</v>
      </c>
      <c r="C62" s="49" t="s">
        <v>44</v>
      </c>
      <c r="D62" s="75" t="s">
        <v>5</v>
      </c>
      <c r="E62" s="75" t="s">
        <v>8</v>
      </c>
      <c r="F62" s="76">
        <v>0.38440000000000002</v>
      </c>
      <c r="G62" s="76">
        <v>32.92</v>
      </c>
      <c r="H62" s="124">
        <f t="shared" si="17"/>
        <v>12.654448000000002</v>
      </c>
    </row>
    <row r="63" spans="1:9" ht="27.6" hidden="1" x14ac:dyDescent="0.3">
      <c r="A63" s="9">
        <v>69</v>
      </c>
      <c r="B63" s="75">
        <v>7568</v>
      </c>
      <c r="C63" s="49" t="s">
        <v>45</v>
      </c>
      <c r="D63" s="75" t="s">
        <v>5</v>
      </c>
      <c r="E63" s="75" t="s">
        <v>6</v>
      </c>
      <c r="F63" s="76">
        <v>6</v>
      </c>
      <c r="G63" s="76">
        <v>0.56500000000000006</v>
      </c>
      <c r="H63" s="124">
        <f t="shared" si="17"/>
        <v>3.3900000000000006</v>
      </c>
    </row>
    <row r="64" spans="1:9" x14ac:dyDescent="0.3">
      <c r="A64" s="9">
        <v>69</v>
      </c>
      <c r="B64" s="75" t="s">
        <v>46</v>
      </c>
      <c r="C64" s="49" t="s">
        <v>47</v>
      </c>
      <c r="D64" s="75" t="s">
        <v>0</v>
      </c>
      <c r="E64" s="75" t="s">
        <v>2</v>
      </c>
      <c r="F64" s="88">
        <f>1.92*0.8</f>
        <v>1.536</v>
      </c>
      <c r="G64" s="77">
        <v>14.58</v>
      </c>
      <c r="H64" s="124">
        <f t="shared" si="17"/>
        <v>22.394880000000001</v>
      </c>
      <c r="I64" s="110">
        <f>$I$58*F64</f>
        <v>0</v>
      </c>
    </row>
    <row r="65" spans="1:9" hidden="1" x14ac:dyDescent="0.3">
      <c r="A65" s="9">
        <v>69</v>
      </c>
      <c r="B65" s="75" t="s">
        <v>3</v>
      </c>
      <c r="C65" s="49" t="s">
        <v>4</v>
      </c>
      <c r="D65" s="75" t="s">
        <v>0</v>
      </c>
      <c r="E65" s="75" t="s">
        <v>2</v>
      </c>
      <c r="F65" s="88">
        <f>0.8*0.98</f>
        <v>0.78400000000000003</v>
      </c>
      <c r="G65" s="77">
        <v>9.4600000000000009</v>
      </c>
      <c r="H65" s="124">
        <f t="shared" si="17"/>
        <v>7.416640000000001</v>
      </c>
      <c r="I65" s="110">
        <f>$I$58*F65</f>
        <v>0</v>
      </c>
    </row>
    <row r="66" spans="1:9" ht="25.5" hidden="1" customHeight="1" x14ac:dyDescent="0.3">
      <c r="A66" s="51">
        <v>71</v>
      </c>
      <c r="B66" s="51" t="s">
        <v>41</v>
      </c>
      <c r="C66" s="52" t="s">
        <v>49</v>
      </c>
      <c r="D66" s="51" t="s">
        <v>0</v>
      </c>
      <c r="E66" s="51" t="s">
        <v>6</v>
      </c>
      <c r="F66" s="24">
        <v>1</v>
      </c>
      <c r="G66" s="24"/>
      <c r="H66" s="121">
        <f>SUM(H67:H73)</f>
        <v>378.14923799999997</v>
      </c>
      <c r="I66" s="137">
        <f>VLOOKUP(A66,'PLANILHA CD'!$A$10:$I$143,4,0)</f>
        <v>0</v>
      </c>
    </row>
    <row r="67" spans="1:9" ht="17.25" hidden="1" customHeight="1" x14ac:dyDescent="0.3">
      <c r="A67" s="100">
        <f>A66</f>
        <v>71</v>
      </c>
      <c r="B67" s="75">
        <v>11795</v>
      </c>
      <c r="C67" s="49" t="s">
        <v>40</v>
      </c>
      <c r="D67" s="75" t="s">
        <v>5</v>
      </c>
      <c r="E67" s="75" t="s">
        <v>1</v>
      </c>
      <c r="F67" s="76">
        <v>1</v>
      </c>
      <c r="G67" s="76">
        <v>300</v>
      </c>
      <c r="H67" s="124">
        <f t="shared" ref="H67:H73" si="18">F67*G67</f>
        <v>300</v>
      </c>
    </row>
    <row r="68" spans="1:9" hidden="1" x14ac:dyDescent="0.3">
      <c r="A68" s="9">
        <f>A67</f>
        <v>71</v>
      </c>
      <c r="B68" s="75">
        <v>37329</v>
      </c>
      <c r="C68" s="49" t="s">
        <v>42</v>
      </c>
      <c r="D68" s="75" t="s">
        <v>5</v>
      </c>
      <c r="E68" s="75" t="s">
        <v>8</v>
      </c>
      <c r="F68" s="76">
        <v>2.5700000000000001E-2</v>
      </c>
      <c r="G68" s="76">
        <v>51.1</v>
      </c>
      <c r="H68" s="124">
        <f t="shared" si="18"/>
        <v>1.3132700000000002</v>
      </c>
    </row>
    <row r="69" spans="1:9" ht="27.6" hidden="1" x14ac:dyDescent="0.3">
      <c r="A69" s="9">
        <f t="shared" ref="A69:A73" si="19">A68</f>
        <v>71</v>
      </c>
      <c r="B69" s="75">
        <v>37590</v>
      </c>
      <c r="C69" s="49" t="s">
        <v>43</v>
      </c>
      <c r="D69" s="75" t="s">
        <v>5</v>
      </c>
      <c r="E69" s="75" t="s">
        <v>6</v>
      </c>
      <c r="F69" s="76">
        <v>2</v>
      </c>
      <c r="G69" s="76">
        <v>15.49</v>
      </c>
      <c r="H69" s="124">
        <f t="shared" si="18"/>
        <v>30.98</v>
      </c>
    </row>
    <row r="70" spans="1:9" hidden="1" x14ac:dyDescent="0.3">
      <c r="A70" s="9">
        <f t="shared" si="19"/>
        <v>71</v>
      </c>
      <c r="B70" s="75">
        <v>4823</v>
      </c>
      <c r="C70" s="49" t="s">
        <v>44</v>
      </c>
      <c r="D70" s="75" t="s">
        <v>5</v>
      </c>
      <c r="E70" s="75" t="s">
        <v>8</v>
      </c>
      <c r="F70" s="76">
        <v>0.38440000000000002</v>
      </c>
      <c r="G70" s="76">
        <v>32.92</v>
      </c>
      <c r="H70" s="124">
        <f t="shared" si="18"/>
        <v>12.654448000000002</v>
      </c>
    </row>
    <row r="71" spans="1:9" ht="27.6" hidden="1" x14ac:dyDescent="0.3">
      <c r="A71" s="9">
        <f t="shared" si="19"/>
        <v>71</v>
      </c>
      <c r="B71" s="75">
        <v>7568</v>
      </c>
      <c r="C71" s="49" t="s">
        <v>45</v>
      </c>
      <c r="D71" s="75" t="s">
        <v>5</v>
      </c>
      <c r="E71" s="75" t="s">
        <v>6</v>
      </c>
      <c r="F71" s="76">
        <v>6</v>
      </c>
      <c r="G71" s="76">
        <v>0.56500000000000006</v>
      </c>
      <c r="H71" s="124">
        <f t="shared" si="18"/>
        <v>3.3900000000000006</v>
      </c>
    </row>
    <row r="72" spans="1:9" x14ac:dyDescent="0.3">
      <c r="A72" s="9">
        <f t="shared" si="19"/>
        <v>71</v>
      </c>
      <c r="B72" s="75" t="s">
        <v>46</v>
      </c>
      <c r="C72" s="49" t="s">
        <v>47</v>
      </c>
      <c r="D72" s="75" t="s">
        <v>0</v>
      </c>
      <c r="E72" s="75" t="s">
        <v>2</v>
      </c>
      <c r="F72" s="88">
        <f>1.92*0.8</f>
        <v>1.536</v>
      </c>
      <c r="G72" s="77">
        <v>14.58</v>
      </c>
      <c r="H72" s="124">
        <f t="shared" si="18"/>
        <v>22.394880000000001</v>
      </c>
      <c r="I72" s="110">
        <f>$I$66*F72</f>
        <v>0</v>
      </c>
    </row>
    <row r="73" spans="1:9" hidden="1" x14ac:dyDescent="0.3">
      <c r="A73" s="9">
        <f t="shared" si="19"/>
        <v>71</v>
      </c>
      <c r="B73" s="75" t="s">
        <v>3</v>
      </c>
      <c r="C73" s="49" t="s">
        <v>4</v>
      </c>
      <c r="D73" s="75" t="s">
        <v>0</v>
      </c>
      <c r="E73" s="75" t="s">
        <v>2</v>
      </c>
      <c r="F73" s="88">
        <f>0.8*0.98</f>
        <v>0.78400000000000003</v>
      </c>
      <c r="G73" s="77">
        <v>9.4600000000000009</v>
      </c>
      <c r="H73" s="124">
        <f t="shared" si="18"/>
        <v>7.416640000000001</v>
      </c>
      <c r="I73" s="110">
        <f>$I$66*F73</f>
        <v>0</v>
      </c>
    </row>
    <row r="74" spans="1:9" ht="25.5" hidden="1" customHeight="1" x14ac:dyDescent="0.3">
      <c r="A74" s="51">
        <v>73</v>
      </c>
      <c r="B74" s="51" t="s">
        <v>246</v>
      </c>
      <c r="C74" s="52" t="s">
        <v>252</v>
      </c>
      <c r="D74" s="51" t="s">
        <v>0</v>
      </c>
      <c r="E74" s="51" t="s">
        <v>1</v>
      </c>
      <c r="F74" s="24">
        <v>1</v>
      </c>
      <c r="G74" s="24">
        <v>13.95</v>
      </c>
      <c r="H74" s="121">
        <f>SUM(H75:H78)</f>
        <v>34.329866666666668</v>
      </c>
      <c r="I74" s="137">
        <f>VLOOKUP(A74,'PLANILHA CD'!$A$10:$I$143,4,0)</f>
        <v>0</v>
      </c>
    </row>
    <row r="75" spans="1:9" hidden="1" x14ac:dyDescent="0.3">
      <c r="A75" s="9">
        <f>A74</f>
        <v>73</v>
      </c>
      <c r="B75" s="75">
        <v>41967</v>
      </c>
      <c r="C75" s="49" t="s">
        <v>251</v>
      </c>
      <c r="D75" s="75" t="s">
        <v>5</v>
      </c>
      <c r="E75" s="75" t="s">
        <v>19</v>
      </c>
      <c r="F75" s="76">
        <v>3.3333333333333333E-2</v>
      </c>
      <c r="G75" s="76">
        <f>25/5</f>
        <v>5</v>
      </c>
      <c r="H75" s="108">
        <f t="shared" ref="H75:H78" si="20">F75*G75</f>
        <v>0.16666666666666666</v>
      </c>
    </row>
    <row r="76" spans="1:9" x14ac:dyDescent="0.3">
      <c r="A76" s="9">
        <f t="shared" ref="A76:A78" si="21">A75</f>
        <v>73</v>
      </c>
      <c r="B76" s="75" t="s">
        <v>247</v>
      </c>
      <c r="C76" s="49" t="s">
        <v>248</v>
      </c>
      <c r="D76" s="75" t="s">
        <v>0</v>
      </c>
      <c r="E76" s="75" t="s">
        <v>2</v>
      </c>
      <c r="F76" s="76">
        <v>1.33</v>
      </c>
      <c r="G76" s="77">
        <v>14.58</v>
      </c>
      <c r="H76" s="108">
        <f t="shared" si="20"/>
        <v>19.391400000000001</v>
      </c>
      <c r="I76" s="110">
        <f>$I$74*F76</f>
        <v>0</v>
      </c>
    </row>
    <row r="77" spans="1:9" hidden="1" x14ac:dyDescent="0.3">
      <c r="A77" s="9">
        <f t="shared" si="21"/>
        <v>73</v>
      </c>
      <c r="B77" s="75" t="s">
        <v>3</v>
      </c>
      <c r="C77" s="49" t="s">
        <v>4</v>
      </c>
      <c r="D77" s="75" t="s">
        <v>0</v>
      </c>
      <c r="E77" s="75" t="s">
        <v>2</v>
      </c>
      <c r="F77" s="76">
        <v>1.33</v>
      </c>
      <c r="G77" s="77">
        <v>9.4600000000000009</v>
      </c>
      <c r="H77" s="108">
        <f t="shared" si="20"/>
        <v>12.581800000000001</v>
      </c>
      <c r="I77" s="110">
        <f>$I$74*F77</f>
        <v>0</v>
      </c>
    </row>
    <row r="78" spans="1:9" hidden="1" x14ac:dyDescent="0.3">
      <c r="A78" s="9">
        <f t="shared" si="21"/>
        <v>73</v>
      </c>
      <c r="B78" s="75" t="s">
        <v>249</v>
      </c>
      <c r="C78" s="49" t="s">
        <v>253</v>
      </c>
      <c r="D78" s="75" t="s">
        <v>0</v>
      </c>
      <c r="E78" s="75" t="s">
        <v>250</v>
      </c>
      <c r="F78" s="76">
        <v>1</v>
      </c>
      <c r="G78" s="76">
        <v>2.19</v>
      </c>
      <c r="H78" s="108">
        <f t="shared" si="20"/>
        <v>2.19</v>
      </c>
    </row>
    <row r="79" spans="1:9" ht="27.6" hidden="1" x14ac:dyDescent="0.3">
      <c r="A79" s="51">
        <v>80</v>
      </c>
      <c r="B79" s="51" t="s">
        <v>235</v>
      </c>
      <c r="C79" s="52" t="s">
        <v>239</v>
      </c>
      <c r="D79" s="51" t="s">
        <v>0</v>
      </c>
      <c r="E79" s="51" t="s">
        <v>6</v>
      </c>
      <c r="F79" s="24">
        <v>1</v>
      </c>
      <c r="G79" s="24"/>
      <c r="H79" s="121">
        <f>SUM(H80:H91)</f>
        <v>898.87648000000002</v>
      </c>
      <c r="I79" s="137">
        <f>VLOOKUP(A79,'PLANILHA CD'!$A$10:$I$143,4,0)</f>
        <v>13707</v>
      </c>
    </row>
    <row r="80" spans="1:9" hidden="1" x14ac:dyDescent="0.3">
      <c r="A80" s="40">
        <f>A79</f>
        <v>80</v>
      </c>
      <c r="B80" s="57">
        <v>3146</v>
      </c>
      <c r="C80" s="58" t="s">
        <v>51</v>
      </c>
      <c r="D80" s="57" t="s">
        <v>5</v>
      </c>
      <c r="E80" s="57" t="s">
        <v>6</v>
      </c>
      <c r="F80" s="61">
        <v>0.04</v>
      </c>
      <c r="G80" s="59">
        <v>13.82</v>
      </c>
      <c r="H80" s="108">
        <f t="shared" ref="H80:H91" si="22">F80*G80</f>
        <v>0.55280000000000007</v>
      </c>
    </row>
    <row r="81" spans="1:9" ht="27.6" hidden="1" x14ac:dyDescent="0.3">
      <c r="A81" s="40">
        <f t="shared" ref="A81:A91" si="23">A80</f>
        <v>80</v>
      </c>
      <c r="B81" s="90">
        <v>6157</v>
      </c>
      <c r="C81" s="91" t="s">
        <v>236</v>
      </c>
      <c r="D81" s="90" t="s">
        <v>5</v>
      </c>
      <c r="E81" s="90" t="s">
        <v>6</v>
      </c>
      <c r="F81" s="92">
        <v>1</v>
      </c>
      <c r="G81" s="93">
        <v>66.44</v>
      </c>
      <c r="H81" s="108">
        <f t="shared" si="22"/>
        <v>66.44</v>
      </c>
    </row>
    <row r="82" spans="1:9" x14ac:dyDescent="0.3">
      <c r="A82" s="40">
        <f t="shared" si="23"/>
        <v>80</v>
      </c>
      <c r="B82" s="57" t="s">
        <v>52</v>
      </c>
      <c r="C82" s="58" t="s">
        <v>53</v>
      </c>
      <c r="D82" s="57" t="s">
        <v>0</v>
      </c>
      <c r="E82" s="57" t="s">
        <v>2</v>
      </c>
      <c r="F82" s="61">
        <f>0.8*0.17</f>
        <v>0.13600000000000001</v>
      </c>
      <c r="G82" s="77">
        <v>14.58</v>
      </c>
      <c r="H82" s="108">
        <f t="shared" si="22"/>
        <v>1.9828800000000002</v>
      </c>
      <c r="I82" s="110">
        <f>$I$79*F82</f>
        <v>1864.152</v>
      </c>
    </row>
    <row r="83" spans="1:9" hidden="1" x14ac:dyDescent="0.3">
      <c r="A83" s="40">
        <f t="shared" si="23"/>
        <v>80</v>
      </c>
      <c r="B83" s="57" t="s">
        <v>3</v>
      </c>
      <c r="C83" s="58" t="s">
        <v>4</v>
      </c>
      <c r="D83" s="57" t="s">
        <v>0</v>
      </c>
      <c r="E83" s="57" t="s">
        <v>2</v>
      </c>
      <c r="F83" s="61">
        <f>0.8*0.05</f>
        <v>4.0000000000000008E-2</v>
      </c>
      <c r="G83" s="77">
        <v>9.4600000000000009</v>
      </c>
      <c r="H83" s="108">
        <f t="shared" si="22"/>
        <v>0.37840000000000013</v>
      </c>
      <c r="I83" s="110">
        <f>$I$79*F83</f>
        <v>548.28000000000009</v>
      </c>
    </row>
    <row r="84" spans="1:9" hidden="1" x14ac:dyDescent="0.3">
      <c r="A84" s="40">
        <f t="shared" si="23"/>
        <v>80</v>
      </c>
      <c r="B84" s="38">
        <v>3146</v>
      </c>
      <c r="C84" s="39" t="s">
        <v>51</v>
      </c>
      <c r="D84" s="38" t="s">
        <v>5</v>
      </c>
      <c r="E84" s="38" t="s">
        <v>6</v>
      </c>
      <c r="F84" s="89">
        <v>0.05</v>
      </c>
      <c r="G84" s="59">
        <v>13.82</v>
      </c>
      <c r="H84" s="108">
        <f t="shared" si="22"/>
        <v>0.69100000000000006</v>
      </c>
    </row>
    <row r="85" spans="1:9" hidden="1" x14ac:dyDescent="0.3">
      <c r="A85" s="40">
        <f t="shared" si="23"/>
        <v>80</v>
      </c>
      <c r="B85" s="94">
        <v>6148</v>
      </c>
      <c r="C85" s="95" t="s">
        <v>237</v>
      </c>
      <c r="D85" s="94" t="s">
        <v>5</v>
      </c>
      <c r="E85" s="94" t="s">
        <v>6</v>
      </c>
      <c r="F85" s="96">
        <v>1</v>
      </c>
      <c r="G85" s="97">
        <v>80.48</v>
      </c>
      <c r="H85" s="108">
        <f t="shared" si="22"/>
        <v>80.48</v>
      </c>
    </row>
    <row r="86" spans="1:9" x14ac:dyDescent="0.3">
      <c r="A86" s="40">
        <f t="shared" si="23"/>
        <v>80</v>
      </c>
      <c r="B86" s="38" t="s">
        <v>52</v>
      </c>
      <c r="C86" s="39" t="s">
        <v>53</v>
      </c>
      <c r="D86" s="38" t="s">
        <v>0</v>
      </c>
      <c r="E86" s="38" t="s">
        <v>2</v>
      </c>
      <c r="F86" s="89">
        <f>0.8*0.08</f>
        <v>6.4000000000000001E-2</v>
      </c>
      <c r="G86" s="77">
        <v>14.58</v>
      </c>
      <c r="H86" s="108">
        <f t="shared" si="22"/>
        <v>0.93312000000000006</v>
      </c>
      <c r="I86" s="110">
        <f>$I$79*F86</f>
        <v>877.24800000000005</v>
      </c>
    </row>
    <row r="87" spans="1:9" hidden="1" x14ac:dyDescent="0.3">
      <c r="A87" s="40">
        <f t="shared" si="23"/>
        <v>80</v>
      </c>
      <c r="B87" s="38" t="s">
        <v>3</v>
      </c>
      <c r="C87" s="39" t="s">
        <v>4</v>
      </c>
      <c r="D87" s="38" t="s">
        <v>0</v>
      </c>
      <c r="E87" s="38" t="s">
        <v>2</v>
      </c>
      <c r="F87" s="89">
        <f>0.8*0.03</f>
        <v>2.4E-2</v>
      </c>
      <c r="G87" s="77">
        <v>9.4600000000000009</v>
      </c>
      <c r="H87" s="108">
        <f t="shared" si="22"/>
        <v>0.22704000000000002</v>
      </c>
      <c r="I87" s="110">
        <f>$I$79*F87</f>
        <v>328.96800000000002</v>
      </c>
    </row>
    <row r="88" spans="1:9" hidden="1" x14ac:dyDescent="0.3">
      <c r="A88" s="99">
        <f t="shared" si="23"/>
        <v>80</v>
      </c>
      <c r="B88" s="94">
        <v>1743</v>
      </c>
      <c r="C88" s="95" t="s">
        <v>238</v>
      </c>
      <c r="D88" s="94" t="s">
        <v>5</v>
      </c>
      <c r="E88" s="94" t="s">
        <v>6</v>
      </c>
      <c r="F88" s="96">
        <v>1</v>
      </c>
      <c r="G88" s="97">
        <v>731</v>
      </c>
      <c r="H88" s="124">
        <f t="shared" si="22"/>
        <v>731</v>
      </c>
    </row>
    <row r="89" spans="1:9" hidden="1" x14ac:dyDescent="0.3">
      <c r="A89" s="40">
        <f t="shared" si="23"/>
        <v>80</v>
      </c>
      <c r="B89" s="38">
        <v>4823</v>
      </c>
      <c r="C89" s="39" t="s">
        <v>44</v>
      </c>
      <c r="D89" s="38" t="s">
        <v>5</v>
      </c>
      <c r="E89" s="38" t="s">
        <v>8</v>
      </c>
      <c r="F89" s="89">
        <v>0.2974</v>
      </c>
      <c r="G89" s="41">
        <v>31.8</v>
      </c>
      <c r="H89" s="108">
        <f t="shared" si="22"/>
        <v>9.4573199999999993</v>
      </c>
    </row>
    <row r="90" spans="1:9" x14ac:dyDescent="0.3">
      <c r="A90" s="40">
        <f t="shared" si="23"/>
        <v>80</v>
      </c>
      <c r="B90" s="38" t="s">
        <v>46</v>
      </c>
      <c r="C90" s="39" t="s">
        <v>47</v>
      </c>
      <c r="D90" s="38" t="s">
        <v>0</v>
      </c>
      <c r="E90" s="38" t="s">
        <v>2</v>
      </c>
      <c r="F90" s="89">
        <f>0.8*0.48</f>
        <v>0.38400000000000001</v>
      </c>
      <c r="G90" s="77">
        <v>14.58</v>
      </c>
      <c r="H90" s="108">
        <f t="shared" si="22"/>
        <v>5.5987200000000001</v>
      </c>
      <c r="I90" s="110">
        <f>$I$79*F90</f>
        <v>5263.4880000000003</v>
      </c>
    </row>
    <row r="91" spans="1:9" hidden="1" x14ac:dyDescent="0.3">
      <c r="A91" s="40">
        <f t="shared" si="23"/>
        <v>80</v>
      </c>
      <c r="B91" s="16" t="s">
        <v>3</v>
      </c>
      <c r="C91" s="36" t="s">
        <v>4</v>
      </c>
      <c r="D91" s="16" t="s">
        <v>0</v>
      </c>
      <c r="E91" s="16" t="s">
        <v>2</v>
      </c>
      <c r="F91" s="45">
        <f>0.8*0.15</f>
        <v>0.12</v>
      </c>
      <c r="G91" s="77">
        <v>9.4600000000000009</v>
      </c>
      <c r="H91" s="108">
        <f t="shared" si="22"/>
        <v>1.1352</v>
      </c>
      <c r="I91" s="110">
        <f>$I$79*F91</f>
        <v>1644.84</v>
      </c>
    </row>
    <row r="92" spans="1:9" ht="20.25" hidden="1" customHeight="1" x14ac:dyDescent="0.3">
      <c r="A92" s="78">
        <v>89</v>
      </c>
      <c r="B92" s="78" t="s">
        <v>229</v>
      </c>
      <c r="C92" s="79" t="s">
        <v>242</v>
      </c>
      <c r="D92" s="78" t="s">
        <v>0</v>
      </c>
      <c r="E92" s="78" t="s">
        <v>6</v>
      </c>
      <c r="F92" s="23">
        <v>1</v>
      </c>
      <c r="G92" s="80">
        <v>55.29</v>
      </c>
      <c r="H92" s="121">
        <f>SUM(H93:H95)</f>
        <v>404.580128</v>
      </c>
      <c r="I92" s="137">
        <f>VLOOKUP(A92,'PLANILHA CD'!$A$10:$I$143,4,0)</f>
        <v>10711510</v>
      </c>
    </row>
    <row r="93" spans="1:9" hidden="1" x14ac:dyDescent="0.3">
      <c r="A93" s="5">
        <v>89</v>
      </c>
      <c r="B93" s="18">
        <v>3146</v>
      </c>
      <c r="C93" s="10" t="s">
        <v>51</v>
      </c>
      <c r="D93" s="11" t="s">
        <v>5</v>
      </c>
      <c r="E93" s="28" t="s">
        <v>6</v>
      </c>
      <c r="F93" s="27">
        <v>3.04E-2</v>
      </c>
      <c r="G93" s="59">
        <v>13.82</v>
      </c>
      <c r="H93" s="108">
        <f t="shared" ref="H93:H95" si="24">F93*G93</f>
        <v>0.420128</v>
      </c>
    </row>
    <row r="94" spans="1:9" hidden="1" x14ac:dyDescent="0.3">
      <c r="A94" s="100">
        <v>89</v>
      </c>
      <c r="B94" s="101">
        <v>36791</v>
      </c>
      <c r="C94" s="102" t="s">
        <v>230</v>
      </c>
      <c r="D94" s="103" t="s">
        <v>5</v>
      </c>
      <c r="E94" s="104" t="s">
        <v>6</v>
      </c>
      <c r="F94" s="105">
        <v>1</v>
      </c>
      <c r="G94" s="106">
        <v>375</v>
      </c>
      <c r="H94" s="124">
        <f t="shared" si="24"/>
        <v>375</v>
      </c>
    </row>
    <row r="95" spans="1:9" x14ac:dyDescent="0.3">
      <c r="A95" s="5">
        <v>89</v>
      </c>
      <c r="B95" s="18" t="s">
        <v>52</v>
      </c>
      <c r="C95" s="10" t="s">
        <v>53</v>
      </c>
      <c r="D95" s="11" t="s">
        <v>0</v>
      </c>
      <c r="E95" s="28" t="s">
        <v>2</v>
      </c>
      <c r="F95" s="45">
        <v>2</v>
      </c>
      <c r="G95" s="12">
        <v>14.58</v>
      </c>
      <c r="H95" s="108">
        <f t="shared" si="24"/>
        <v>29.16</v>
      </c>
      <c r="I95" s="110">
        <f>$I$92*F95</f>
        <v>21423020</v>
      </c>
    </row>
    <row r="96" spans="1:9" ht="17.25" hidden="1" customHeight="1" x14ac:dyDescent="0.3">
      <c r="A96" s="78">
        <v>90</v>
      </c>
      <c r="B96" s="78" t="s">
        <v>243</v>
      </c>
      <c r="C96" s="79" t="s">
        <v>240</v>
      </c>
      <c r="D96" s="78" t="s">
        <v>0</v>
      </c>
      <c r="E96" s="78" t="s">
        <v>6</v>
      </c>
      <c r="F96" s="23">
        <v>1</v>
      </c>
      <c r="G96" s="80"/>
      <c r="H96" s="121">
        <f>SUM(H97:H100)</f>
        <v>454.68089599999996</v>
      </c>
      <c r="I96" s="137">
        <f>VLOOKUP(A96,'PLANILHA CD'!$A$10:$I$143,4,0)</f>
        <v>10727410</v>
      </c>
    </row>
    <row r="97" spans="1:9" hidden="1" x14ac:dyDescent="0.3">
      <c r="A97" s="5">
        <v>90</v>
      </c>
      <c r="B97" s="18">
        <v>11769</v>
      </c>
      <c r="C97" s="10" t="s">
        <v>244</v>
      </c>
      <c r="D97" s="28" t="s">
        <v>5</v>
      </c>
      <c r="E97" s="21" t="s">
        <v>6</v>
      </c>
      <c r="F97" s="50">
        <v>1</v>
      </c>
      <c r="G97" s="22">
        <v>447.34</v>
      </c>
      <c r="H97" s="108">
        <f t="shared" ref="H97:H100" si="25">F97*G97</f>
        <v>447.34</v>
      </c>
    </row>
    <row r="98" spans="1:9" hidden="1" x14ac:dyDescent="0.3">
      <c r="A98" s="5">
        <v>90</v>
      </c>
      <c r="B98" s="18">
        <v>3146</v>
      </c>
      <c r="C98" s="10" t="s">
        <v>51</v>
      </c>
      <c r="D98" s="28" t="s">
        <v>5</v>
      </c>
      <c r="E98" s="21" t="s">
        <v>6</v>
      </c>
      <c r="F98" s="50">
        <v>6.08E-2</v>
      </c>
      <c r="G98" s="22">
        <v>13.82</v>
      </c>
      <c r="H98" s="108">
        <f t="shared" si="25"/>
        <v>0.840256</v>
      </c>
    </row>
    <row r="99" spans="1:9" x14ac:dyDescent="0.3">
      <c r="A99" s="5">
        <v>90</v>
      </c>
      <c r="B99" s="18" t="s">
        <v>52</v>
      </c>
      <c r="C99" s="10" t="s">
        <v>53</v>
      </c>
      <c r="D99" s="28" t="s">
        <v>0</v>
      </c>
      <c r="E99" s="21" t="s">
        <v>2</v>
      </c>
      <c r="F99" s="112">
        <f>0.46*(0.8)</f>
        <v>0.36800000000000005</v>
      </c>
      <c r="G99" s="22">
        <v>14.58</v>
      </c>
      <c r="H99" s="108">
        <f t="shared" si="25"/>
        <v>5.3654400000000004</v>
      </c>
      <c r="I99" s="110">
        <f>$I$96*F99</f>
        <v>3947686.8800000004</v>
      </c>
    </row>
    <row r="100" spans="1:9" hidden="1" x14ac:dyDescent="0.3">
      <c r="A100" s="5">
        <v>90</v>
      </c>
      <c r="B100" s="18" t="s">
        <v>3</v>
      </c>
      <c r="C100" s="10" t="s">
        <v>4</v>
      </c>
      <c r="D100" s="28" t="s">
        <v>0</v>
      </c>
      <c r="E100" s="21" t="s">
        <v>2</v>
      </c>
      <c r="F100" s="112">
        <f>0.15*(0.8)</f>
        <v>0.12</v>
      </c>
      <c r="G100" s="22">
        <v>9.4600000000000009</v>
      </c>
      <c r="H100" s="108">
        <f t="shared" si="25"/>
        <v>1.1352</v>
      </c>
      <c r="I100" s="110">
        <f>$I$96*F100</f>
        <v>1287289.2</v>
      </c>
    </row>
    <row r="101" spans="1:9" ht="17.25" hidden="1" customHeight="1" x14ac:dyDescent="0.3">
      <c r="A101" s="78">
        <v>99</v>
      </c>
      <c r="B101" s="78" t="s">
        <v>50</v>
      </c>
      <c r="C101" s="79" t="s">
        <v>241</v>
      </c>
      <c r="D101" s="78" t="s">
        <v>0</v>
      </c>
      <c r="E101" s="78" t="s">
        <v>6</v>
      </c>
      <c r="F101" s="23">
        <v>1</v>
      </c>
      <c r="G101" s="80"/>
      <c r="H101" s="121">
        <f>SUM(H102:H105)</f>
        <v>244.00089600000001</v>
      </c>
      <c r="I101" s="137" t="str">
        <f>VLOOKUP(A101,'PLANILHA CD'!$A$10:$I$143,4,0)</f>
        <v>1984 C41</v>
      </c>
    </row>
    <row r="102" spans="1:9" hidden="1" x14ac:dyDescent="0.3">
      <c r="A102" s="5">
        <v>90</v>
      </c>
      <c r="B102" s="18">
        <v>11769</v>
      </c>
      <c r="C102" s="10" t="s">
        <v>54</v>
      </c>
      <c r="D102" s="28" t="s">
        <v>5</v>
      </c>
      <c r="E102" s="21" t="s">
        <v>6</v>
      </c>
      <c r="F102" s="50">
        <v>1</v>
      </c>
      <c r="G102" s="22">
        <v>236.66</v>
      </c>
      <c r="H102" s="108">
        <f t="shared" ref="H102:H105" si="26">F102*G102</f>
        <v>236.66</v>
      </c>
    </row>
    <row r="103" spans="1:9" hidden="1" x14ac:dyDescent="0.3">
      <c r="A103" s="5">
        <v>90</v>
      </c>
      <c r="B103" s="18">
        <v>3146</v>
      </c>
      <c r="C103" s="10" t="s">
        <v>51</v>
      </c>
      <c r="D103" s="28" t="s">
        <v>5</v>
      </c>
      <c r="E103" s="21" t="s">
        <v>6</v>
      </c>
      <c r="F103" s="50">
        <v>6.08E-2</v>
      </c>
      <c r="G103" s="22">
        <v>13.82</v>
      </c>
      <c r="H103" s="108">
        <f t="shared" si="26"/>
        <v>0.840256</v>
      </c>
    </row>
    <row r="104" spans="1:9" x14ac:dyDescent="0.3">
      <c r="A104" s="5">
        <v>90</v>
      </c>
      <c r="B104" s="18" t="s">
        <v>52</v>
      </c>
      <c r="C104" s="10" t="s">
        <v>53</v>
      </c>
      <c r="D104" s="28" t="s">
        <v>0</v>
      </c>
      <c r="E104" s="21" t="s">
        <v>2</v>
      </c>
      <c r="F104" s="112">
        <f>0.46*(0.8)</f>
        <v>0.36800000000000005</v>
      </c>
      <c r="G104" s="22">
        <v>14.58</v>
      </c>
      <c r="H104" s="108">
        <f t="shared" si="26"/>
        <v>5.3654400000000004</v>
      </c>
      <c r="I104" s="110" t="e">
        <f>$I$101*F104</f>
        <v>#VALUE!</v>
      </c>
    </row>
    <row r="105" spans="1:9" hidden="1" x14ac:dyDescent="0.3">
      <c r="A105" s="5">
        <v>90</v>
      </c>
      <c r="B105" s="18" t="s">
        <v>3</v>
      </c>
      <c r="C105" s="10" t="s">
        <v>4</v>
      </c>
      <c r="D105" s="28" t="s">
        <v>0</v>
      </c>
      <c r="E105" s="21" t="s">
        <v>2</v>
      </c>
      <c r="F105" s="112">
        <f>0.15*(0.8)</f>
        <v>0.12</v>
      </c>
      <c r="G105" s="22">
        <v>9.4600000000000009</v>
      </c>
      <c r="H105" s="108">
        <f t="shared" si="26"/>
        <v>1.1352</v>
      </c>
      <c r="I105" s="110" t="e">
        <f>$I$101*F105</f>
        <v>#VALUE!</v>
      </c>
    </row>
    <row r="106" spans="1:9" ht="16.5" hidden="1" customHeight="1" x14ac:dyDescent="0.3">
      <c r="A106" s="51">
        <v>101</v>
      </c>
      <c r="B106" s="51" t="s">
        <v>55</v>
      </c>
      <c r="C106" s="52" t="s">
        <v>209</v>
      </c>
      <c r="D106" s="51" t="s">
        <v>0</v>
      </c>
      <c r="E106" s="51" t="s">
        <v>6</v>
      </c>
      <c r="F106" s="24">
        <v>1</v>
      </c>
      <c r="G106" s="24"/>
      <c r="H106" s="121">
        <f>SUM(H107:H110)</f>
        <v>382.6474</v>
      </c>
      <c r="I106" s="137" t="str">
        <f>VLOOKUP(A106,'PLANILHA CD'!$A$10:$I$143,4,0)</f>
        <v>1990-VIS-R20</v>
      </c>
    </row>
    <row r="107" spans="1:9" hidden="1" x14ac:dyDescent="0.3">
      <c r="A107" s="40">
        <f>A106</f>
        <v>101</v>
      </c>
      <c r="B107" s="57">
        <v>1368</v>
      </c>
      <c r="C107" s="58" t="s">
        <v>210</v>
      </c>
      <c r="D107" s="57" t="s">
        <v>5</v>
      </c>
      <c r="E107" s="57" t="s">
        <v>6</v>
      </c>
      <c r="F107" s="61">
        <v>1</v>
      </c>
      <c r="G107" s="59">
        <v>374.99</v>
      </c>
      <c r="H107" s="42">
        <f t="shared" ref="H107:H110" si="27">F107*G107</f>
        <v>374.99</v>
      </c>
    </row>
    <row r="108" spans="1:9" hidden="1" x14ac:dyDescent="0.3">
      <c r="A108" s="15">
        <f t="shared" ref="A108:A110" si="28">A107</f>
        <v>101</v>
      </c>
      <c r="B108" s="16">
        <v>3148</v>
      </c>
      <c r="C108" s="36" t="s">
        <v>56</v>
      </c>
      <c r="D108" s="16" t="s">
        <v>5</v>
      </c>
      <c r="E108" s="16" t="s">
        <v>6</v>
      </c>
      <c r="F108" s="14">
        <v>0.01</v>
      </c>
      <c r="G108" s="59">
        <v>13.82</v>
      </c>
      <c r="H108" s="108">
        <f t="shared" si="27"/>
        <v>0.13820000000000002</v>
      </c>
    </row>
    <row r="109" spans="1:9" x14ac:dyDescent="0.3">
      <c r="A109" s="15">
        <f t="shared" si="28"/>
        <v>101</v>
      </c>
      <c r="B109" s="16" t="s">
        <v>57</v>
      </c>
      <c r="C109" s="36" t="s">
        <v>58</v>
      </c>
      <c r="D109" s="16" t="s">
        <v>0</v>
      </c>
      <c r="E109" s="16" t="s">
        <v>2</v>
      </c>
      <c r="F109" s="45">
        <f>0.8*0.45</f>
        <v>0.36000000000000004</v>
      </c>
      <c r="G109" s="17">
        <v>14.58</v>
      </c>
      <c r="H109" s="108">
        <f t="shared" si="27"/>
        <v>5.248800000000001</v>
      </c>
      <c r="I109" s="110" t="e">
        <f>$I$106*F109</f>
        <v>#VALUE!</v>
      </c>
    </row>
    <row r="110" spans="1:9" hidden="1" x14ac:dyDescent="0.3">
      <c r="A110" s="15">
        <f t="shared" si="28"/>
        <v>101</v>
      </c>
      <c r="B110" s="16" t="s">
        <v>3</v>
      </c>
      <c r="C110" s="36" t="s">
        <v>4</v>
      </c>
      <c r="D110" s="16" t="s">
        <v>0</v>
      </c>
      <c r="E110" s="16" t="s">
        <v>2</v>
      </c>
      <c r="F110" s="45">
        <f>0.8*0.3</f>
        <v>0.24</v>
      </c>
      <c r="G110" s="17">
        <v>9.4600000000000009</v>
      </c>
      <c r="H110" s="108">
        <f t="shared" si="27"/>
        <v>2.2704</v>
      </c>
      <c r="I110" s="110" t="e">
        <f>$I$106*F110</f>
        <v>#VALUE!</v>
      </c>
    </row>
    <row r="111" spans="1:9" ht="16.5" hidden="1" customHeight="1" x14ac:dyDescent="0.3">
      <c r="A111" s="51">
        <v>101</v>
      </c>
      <c r="B111" s="51" t="s">
        <v>55</v>
      </c>
      <c r="C111" s="52" t="s">
        <v>209</v>
      </c>
      <c r="D111" s="51" t="s">
        <v>0</v>
      </c>
      <c r="E111" s="51" t="s">
        <v>6</v>
      </c>
      <c r="F111" s="24">
        <v>1</v>
      </c>
      <c r="G111" s="24"/>
      <c r="H111" s="121">
        <f>SUM(H112:H115)</f>
        <v>382.6474</v>
      </c>
      <c r="I111" s="137" t="str">
        <f>VLOOKUP(A111,'PLANILHA CD'!$A$10:$I$143,4,0)</f>
        <v>1990-VIS-R20</v>
      </c>
    </row>
    <row r="112" spans="1:9" hidden="1" x14ac:dyDescent="0.3">
      <c r="A112" s="40">
        <f>A111</f>
        <v>101</v>
      </c>
      <c r="B112" s="57">
        <v>1368</v>
      </c>
      <c r="C112" s="58" t="s">
        <v>210</v>
      </c>
      <c r="D112" s="57" t="s">
        <v>5</v>
      </c>
      <c r="E112" s="57" t="s">
        <v>6</v>
      </c>
      <c r="F112" s="61">
        <v>1</v>
      </c>
      <c r="G112" s="59">
        <v>374.99</v>
      </c>
      <c r="H112" s="42">
        <f t="shared" ref="H112:H120" si="29">F112*G112</f>
        <v>374.99</v>
      </c>
    </row>
    <row r="113" spans="1:9" hidden="1" x14ac:dyDescent="0.3">
      <c r="A113" s="15">
        <f t="shared" ref="A113:A115" si="30">A112</f>
        <v>101</v>
      </c>
      <c r="B113" s="16">
        <v>3148</v>
      </c>
      <c r="C113" s="36" t="s">
        <v>56</v>
      </c>
      <c r="D113" s="16" t="s">
        <v>5</v>
      </c>
      <c r="E113" s="16" t="s">
        <v>6</v>
      </c>
      <c r="F113" s="14">
        <v>0.01</v>
      </c>
      <c r="G113" s="59">
        <v>13.82</v>
      </c>
      <c r="H113" s="108">
        <f t="shared" si="29"/>
        <v>0.13820000000000002</v>
      </c>
    </row>
    <row r="114" spans="1:9" x14ac:dyDescent="0.3">
      <c r="A114" s="15">
        <f t="shared" si="30"/>
        <v>101</v>
      </c>
      <c r="B114" s="16" t="s">
        <v>57</v>
      </c>
      <c r="C114" s="36" t="s">
        <v>58</v>
      </c>
      <c r="D114" s="16" t="s">
        <v>0</v>
      </c>
      <c r="E114" s="16" t="s">
        <v>2</v>
      </c>
      <c r="F114" s="45">
        <f>0.8*0.45</f>
        <v>0.36000000000000004</v>
      </c>
      <c r="G114" s="17">
        <v>14.58</v>
      </c>
      <c r="H114" s="108">
        <f t="shared" si="29"/>
        <v>5.248800000000001</v>
      </c>
      <c r="I114" s="110" t="e">
        <f>$I$111*F114</f>
        <v>#VALUE!</v>
      </c>
    </row>
    <row r="115" spans="1:9" hidden="1" x14ac:dyDescent="0.3">
      <c r="A115" s="15">
        <f t="shared" si="30"/>
        <v>101</v>
      </c>
      <c r="B115" s="16" t="s">
        <v>3</v>
      </c>
      <c r="C115" s="36" t="s">
        <v>4</v>
      </c>
      <c r="D115" s="16" t="s">
        <v>0</v>
      </c>
      <c r="E115" s="16" t="s">
        <v>2</v>
      </c>
      <c r="F115" s="45">
        <f>0.8*0.3</f>
        <v>0.24</v>
      </c>
      <c r="G115" s="17">
        <v>9.4600000000000009</v>
      </c>
      <c r="H115" s="108">
        <f t="shared" si="29"/>
        <v>2.2704</v>
      </c>
      <c r="I115" s="110" t="e">
        <f>$I$111*F115</f>
        <v>#VALUE!</v>
      </c>
    </row>
    <row r="116" spans="1:9" ht="16.5" hidden="1" customHeight="1" x14ac:dyDescent="0.3">
      <c r="A116" s="51">
        <v>109</v>
      </c>
      <c r="B116" s="51"/>
      <c r="C116" s="52" t="s">
        <v>245</v>
      </c>
      <c r="D116" s="51" t="s">
        <v>5</v>
      </c>
      <c r="E116" s="51" t="s">
        <v>6</v>
      </c>
      <c r="F116" s="24">
        <v>1</v>
      </c>
      <c r="G116" s="24"/>
      <c r="H116" s="121">
        <f>SUM(H117:H120)</f>
        <v>341.820896</v>
      </c>
      <c r="I116" s="137" t="str">
        <f>VLOOKUP(A116,'PLANILHA CD'!$A$10:$I$143,4,0)</f>
        <v>4900.C64</v>
      </c>
    </row>
    <row r="117" spans="1:9" hidden="1" x14ac:dyDescent="0.3">
      <c r="A117" s="40">
        <f>A116</f>
        <v>109</v>
      </c>
      <c r="B117" s="57">
        <v>36801</v>
      </c>
      <c r="C117" s="58" t="s">
        <v>245</v>
      </c>
      <c r="D117" s="28" t="s">
        <v>5</v>
      </c>
      <c r="E117" s="21" t="s">
        <v>6</v>
      </c>
      <c r="F117" s="61">
        <v>1</v>
      </c>
      <c r="G117" s="59">
        <v>334.48</v>
      </c>
      <c r="H117" s="108">
        <f t="shared" si="29"/>
        <v>334.48</v>
      </c>
    </row>
    <row r="118" spans="1:9" hidden="1" x14ac:dyDescent="0.3">
      <c r="A118" s="40">
        <f t="shared" ref="A118:A120" si="31">A117</f>
        <v>109</v>
      </c>
      <c r="B118" s="18">
        <v>3146</v>
      </c>
      <c r="C118" s="10" t="s">
        <v>51</v>
      </c>
      <c r="D118" s="28" t="s">
        <v>5</v>
      </c>
      <c r="E118" s="21" t="s">
        <v>6</v>
      </c>
      <c r="F118" s="50">
        <v>6.08E-2</v>
      </c>
      <c r="G118" s="22">
        <v>13.82</v>
      </c>
      <c r="H118" s="108">
        <f t="shared" si="29"/>
        <v>0.840256</v>
      </c>
    </row>
    <row r="119" spans="1:9" x14ac:dyDescent="0.3">
      <c r="A119" s="40">
        <f t="shared" si="31"/>
        <v>109</v>
      </c>
      <c r="B119" s="18" t="s">
        <v>52</v>
      </c>
      <c r="C119" s="10" t="s">
        <v>53</v>
      </c>
      <c r="D119" s="28" t="s">
        <v>0</v>
      </c>
      <c r="E119" s="21" t="s">
        <v>2</v>
      </c>
      <c r="F119" s="112">
        <f>0.46*(0.8)</f>
        <v>0.36800000000000005</v>
      </c>
      <c r="G119" s="22">
        <v>14.58</v>
      </c>
      <c r="H119" s="108">
        <f t="shared" si="29"/>
        <v>5.3654400000000004</v>
      </c>
      <c r="I119" s="110" t="e">
        <f>$I$116*F119</f>
        <v>#VALUE!</v>
      </c>
    </row>
    <row r="120" spans="1:9" hidden="1" x14ac:dyDescent="0.3">
      <c r="A120" s="40">
        <f t="shared" si="31"/>
        <v>109</v>
      </c>
      <c r="B120" s="18" t="s">
        <v>3</v>
      </c>
      <c r="C120" s="10" t="s">
        <v>4</v>
      </c>
      <c r="D120" s="28" t="s">
        <v>0</v>
      </c>
      <c r="E120" s="21" t="s">
        <v>2</v>
      </c>
      <c r="F120" s="112">
        <f>0.15*(0.8)</f>
        <v>0.12</v>
      </c>
      <c r="G120" s="22">
        <v>9.4600000000000009</v>
      </c>
      <c r="H120" s="108">
        <f t="shared" si="29"/>
        <v>1.1352</v>
      </c>
      <c r="I120" s="110" t="e">
        <f>$I$116*F120</f>
        <v>#VALUE!</v>
      </c>
    </row>
    <row r="121" spans="1:9" ht="27.6" hidden="1" x14ac:dyDescent="0.3">
      <c r="A121" s="51">
        <v>118</v>
      </c>
      <c r="B121" s="51" t="s">
        <v>66</v>
      </c>
      <c r="C121" s="52" t="s">
        <v>67</v>
      </c>
      <c r="D121" s="51" t="s">
        <v>0</v>
      </c>
      <c r="E121" s="51" t="s">
        <v>1</v>
      </c>
      <c r="F121" s="24">
        <v>1</v>
      </c>
      <c r="G121" s="24"/>
      <c r="H121" s="121">
        <f>SUM(H122:H124)</f>
        <v>7.5884679999999998</v>
      </c>
      <c r="I121" s="137" t="str">
        <f>VLOOKUP(A121,'PLANILHA CD'!$A$10:$I$143,4,0)</f>
        <v>ACRÍLICO PREMIUM PLUS</v>
      </c>
    </row>
    <row r="122" spans="1:9" hidden="1" x14ac:dyDescent="0.3">
      <c r="A122" s="40">
        <f>A121</f>
        <v>118</v>
      </c>
      <c r="B122" s="62">
        <v>7356</v>
      </c>
      <c r="C122" s="63" t="s">
        <v>68</v>
      </c>
      <c r="D122" s="64" t="s">
        <v>5</v>
      </c>
      <c r="E122" s="64" t="s">
        <v>19</v>
      </c>
      <c r="F122" s="65">
        <v>0.33</v>
      </c>
      <c r="G122" s="66">
        <v>12.33</v>
      </c>
      <c r="H122" s="42">
        <f t="shared" ref="H122:H124" si="32">F122*G122</f>
        <v>4.0689000000000002</v>
      </c>
    </row>
    <row r="123" spans="1:9" x14ac:dyDescent="0.3">
      <c r="A123" s="5">
        <f t="shared" ref="A123:A124" si="33">A122</f>
        <v>118</v>
      </c>
      <c r="B123" s="18" t="s">
        <v>22</v>
      </c>
      <c r="C123" s="10" t="s">
        <v>23</v>
      </c>
      <c r="D123" s="11" t="s">
        <v>0</v>
      </c>
      <c r="E123" s="11" t="s">
        <v>2</v>
      </c>
      <c r="F123" s="134">
        <f>0.244*(0.8)</f>
        <v>0.19520000000000001</v>
      </c>
      <c r="G123" s="12">
        <v>14.58</v>
      </c>
      <c r="H123" s="108">
        <f t="shared" si="32"/>
        <v>2.8460160000000001</v>
      </c>
      <c r="I123" s="110" t="e">
        <f>$I$121*F123</f>
        <v>#VALUE!</v>
      </c>
    </row>
    <row r="124" spans="1:9" hidden="1" x14ac:dyDescent="0.3">
      <c r="A124" s="46">
        <f t="shared" si="33"/>
        <v>118</v>
      </c>
      <c r="B124" s="30" t="s">
        <v>3</v>
      </c>
      <c r="C124" s="31" t="s">
        <v>4</v>
      </c>
      <c r="D124" s="32" t="s">
        <v>0</v>
      </c>
      <c r="E124" s="32" t="s">
        <v>2</v>
      </c>
      <c r="F124" s="134">
        <f>0.089*(0.8)</f>
        <v>7.1199999999999999E-2</v>
      </c>
      <c r="G124" s="44">
        <v>9.4600000000000009</v>
      </c>
      <c r="H124" s="47">
        <f t="shared" si="32"/>
        <v>0.67355200000000004</v>
      </c>
      <c r="I124" s="110" t="e">
        <f>$I$121*F124</f>
        <v>#VALUE!</v>
      </c>
    </row>
    <row r="125" spans="1:9" ht="27.6" hidden="1" x14ac:dyDescent="0.3">
      <c r="A125" s="51">
        <v>119</v>
      </c>
      <c r="B125" s="51" t="s">
        <v>69</v>
      </c>
      <c r="C125" s="52" t="s">
        <v>70</v>
      </c>
      <c r="D125" s="51" t="s">
        <v>0</v>
      </c>
      <c r="E125" s="51" t="s">
        <v>1</v>
      </c>
      <c r="F125" s="24">
        <v>1</v>
      </c>
      <c r="G125" s="24"/>
      <c r="H125" s="121">
        <f>SUM(H126:H128)</f>
        <v>6.7722600000000011</v>
      </c>
      <c r="I125" s="137" t="str">
        <f>VLOOKUP(A125,'PLANILHA CD'!$A$10:$I$143,4,0)</f>
        <v>ACRÍLICO PREMIUM PLUS</v>
      </c>
    </row>
    <row r="126" spans="1:9" hidden="1" x14ac:dyDescent="0.3">
      <c r="A126" s="40">
        <f>A125</f>
        <v>119</v>
      </c>
      <c r="B126" s="62">
        <v>7356</v>
      </c>
      <c r="C126" s="63" t="s">
        <v>68</v>
      </c>
      <c r="D126" s="67" t="s">
        <v>5</v>
      </c>
      <c r="E126" s="68" t="s">
        <v>19</v>
      </c>
      <c r="F126" s="69">
        <v>0.33</v>
      </c>
      <c r="G126" s="70">
        <v>12.33</v>
      </c>
      <c r="H126" s="42">
        <f t="shared" ref="H126:H128" si="34">F126*G126</f>
        <v>4.0689000000000002</v>
      </c>
    </row>
    <row r="127" spans="1:9" x14ac:dyDescent="0.3">
      <c r="A127" s="5">
        <f t="shared" ref="A127:A128" si="35">A126</f>
        <v>119</v>
      </c>
      <c r="B127" s="18" t="s">
        <v>22</v>
      </c>
      <c r="C127" s="10" t="s">
        <v>23</v>
      </c>
      <c r="D127" s="26" t="s">
        <v>0</v>
      </c>
      <c r="E127" s="16" t="s">
        <v>2</v>
      </c>
      <c r="F127" s="45">
        <f>0.187*(0.8)</f>
        <v>0.14960000000000001</v>
      </c>
      <c r="G127" s="17">
        <v>14.58</v>
      </c>
      <c r="H127" s="108">
        <f t="shared" si="34"/>
        <v>2.181168</v>
      </c>
      <c r="I127" s="110" t="e">
        <f>$I$125*F127</f>
        <v>#VALUE!</v>
      </c>
    </row>
    <row r="128" spans="1:9" hidden="1" x14ac:dyDescent="0.3">
      <c r="A128" s="46">
        <f t="shared" si="35"/>
        <v>119</v>
      </c>
      <c r="B128" s="30" t="s">
        <v>3</v>
      </c>
      <c r="C128" s="31" t="s">
        <v>4</v>
      </c>
      <c r="D128" s="33" t="s">
        <v>0</v>
      </c>
      <c r="E128" s="56" t="s">
        <v>2</v>
      </c>
      <c r="F128" s="135">
        <f>0.069*(0.8)</f>
        <v>5.5200000000000006E-2</v>
      </c>
      <c r="G128" s="34">
        <v>9.4600000000000009</v>
      </c>
      <c r="H128" s="47">
        <f t="shared" si="34"/>
        <v>0.5221920000000001</v>
      </c>
      <c r="I128" s="110" t="e">
        <f>$I$125*F128</f>
        <v>#VALUE!</v>
      </c>
    </row>
    <row r="129" spans="1:9" ht="24.75" hidden="1" customHeight="1" x14ac:dyDescent="0.3">
      <c r="A129" s="51">
        <v>120</v>
      </c>
      <c r="B129" s="51" t="s">
        <v>59</v>
      </c>
      <c r="C129" s="52" t="s">
        <v>60</v>
      </c>
      <c r="D129" s="51" t="s">
        <v>0</v>
      </c>
      <c r="E129" s="51" t="s">
        <v>1</v>
      </c>
      <c r="F129" s="24">
        <v>1</v>
      </c>
      <c r="G129" s="24"/>
      <c r="H129" s="121">
        <f>SUM(H130:H134)</f>
        <v>10.799688888888891</v>
      </c>
      <c r="I129" s="137" t="str">
        <f>VLOOKUP(A129,'PLANILHA CD'!$A$10:$I$143,4,0)</f>
        <v>ESMALTE PREMIUM PLUS</v>
      </c>
    </row>
    <row r="130" spans="1:9" hidden="1" x14ac:dyDescent="0.3">
      <c r="A130" s="40">
        <v>120</v>
      </c>
      <c r="B130" s="57">
        <v>3767</v>
      </c>
      <c r="C130" s="58" t="s">
        <v>61</v>
      </c>
      <c r="D130" s="57" t="s">
        <v>5</v>
      </c>
      <c r="E130" s="57" t="s">
        <v>6</v>
      </c>
      <c r="F130" s="71">
        <v>0.4</v>
      </c>
      <c r="G130" s="59">
        <v>0.89</v>
      </c>
      <c r="H130" s="42">
        <f t="shared" ref="H130:H134" si="36">F130*G130</f>
        <v>0.35600000000000004</v>
      </c>
    </row>
    <row r="131" spans="1:9" hidden="1" x14ac:dyDescent="0.3">
      <c r="A131" s="37">
        <v>120</v>
      </c>
      <c r="B131" s="38">
        <v>5318</v>
      </c>
      <c r="C131" s="39" t="s">
        <v>18</v>
      </c>
      <c r="D131" s="38" t="s">
        <v>5</v>
      </c>
      <c r="E131" s="38" t="s">
        <v>19</v>
      </c>
      <c r="F131" s="43">
        <v>0.04</v>
      </c>
      <c r="G131" s="17">
        <f>31.95/5</f>
        <v>6.39</v>
      </c>
      <c r="H131" s="108">
        <f t="shared" si="36"/>
        <v>0.25559999999999999</v>
      </c>
    </row>
    <row r="132" spans="1:9" hidden="1" x14ac:dyDescent="0.3">
      <c r="A132" s="37">
        <v>120</v>
      </c>
      <c r="B132" s="38">
        <v>7311</v>
      </c>
      <c r="C132" s="39" t="s">
        <v>62</v>
      </c>
      <c r="D132" s="38" t="s">
        <v>5</v>
      </c>
      <c r="E132" s="38" t="s">
        <v>19</v>
      </c>
      <c r="F132" s="43">
        <v>0.16</v>
      </c>
      <c r="G132" s="41">
        <v>25.055555555555557</v>
      </c>
      <c r="H132" s="108">
        <f t="shared" si="36"/>
        <v>4.0088888888888894</v>
      </c>
    </row>
    <row r="133" spans="1:9" x14ac:dyDescent="0.3">
      <c r="A133" s="37">
        <v>120</v>
      </c>
      <c r="B133" s="38" t="s">
        <v>22</v>
      </c>
      <c r="C133" s="39" t="s">
        <v>23</v>
      </c>
      <c r="D133" s="38" t="s">
        <v>0</v>
      </c>
      <c r="E133" s="38" t="s">
        <v>2</v>
      </c>
      <c r="F133" s="89">
        <f>0.4*(0.8)</f>
        <v>0.32000000000000006</v>
      </c>
      <c r="G133" s="41">
        <v>14.58</v>
      </c>
      <c r="H133" s="108">
        <f t="shared" si="36"/>
        <v>4.6656000000000013</v>
      </c>
      <c r="I133" s="110" t="e">
        <f>$I$129*F133</f>
        <v>#VALUE!</v>
      </c>
    </row>
    <row r="134" spans="1:9" hidden="1" x14ac:dyDescent="0.3">
      <c r="A134" s="37">
        <v>120</v>
      </c>
      <c r="B134" s="38" t="s">
        <v>3</v>
      </c>
      <c r="C134" s="39" t="s">
        <v>4</v>
      </c>
      <c r="D134" s="38" t="s">
        <v>0</v>
      </c>
      <c r="E134" s="38" t="s">
        <v>2</v>
      </c>
      <c r="F134" s="89">
        <f>0.2*(0.8)</f>
        <v>0.16000000000000003</v>
      </c>
      <c r="G134" s="41">
        <v>9.4600000000000009</v>
      </c>
      <c r="H134" s="108">
        <f t="shared" si="36"/>
        <v>1.5136000000000005</v>
      </c>
      <c r="I134" s="110" t="e">
        <f>$I$129*F134</f>
        <v>#VALUE!</v>
      </c>
    </row>
    <row r="135" spans="1:9" ht="17.25" hidden="1" customHeight="1" x14ac:dyDescent="0.3">
      <c r="A135" s="78">
        <v>121</v>
      </c>
      <c r="B135" s="78" t="s">
        <v>59</v>
      </c>
      <c r="C135" s="79" t="s">
        <v>60</v>
      </c>
      <c r="D135" s="78" t="s">
        <v>0</v>
      </c>
      <c r="E135" s="78" t="s">
        <v>1</v>
      </c>
      <c r="F135" s="23">
        <v>1</v>
      </c>
      <c r="G135" s="80"/>
      <c r="H135" s="121">
        <f>SUM(H136:H141)</f>
        <v>25.970000000000002</v>
      </c>
      <c r="I135" s="137" t="str">
        <f>VLOOKUP(A135,'PLANILHA CD'!$A$10:$I$143,4,0)</f>
        <v>ESMALTE PREMIUM PLUS</v>
      </c>
    </row>
    <row r="136" spans="1:9" x14ac:dyDescent="0.3">
      <c r="A136" s="15">
        <v>121</v>
      </c>
      <c r="B136" s="16" t="s">
        <v>217</v>
      </c>
      <c r="C136" s="36" t="s">
        <v>224</v>
      </c>
      <c r="D136" s="16" t="s">
        <v>37</v>
      </c>
      <c r="E136" s="16" t="s">
        <v>2</v>
      </c>
      <c r="F136" s="27">
        <f>0.8*0.4</f>
        <v>0.32000000000000006</v>
      </c>
      <c r="G136" s="41">
        <v>14.58</v>
      </c>
      <c r="H136" s="108">
        <f t="shared" ref="H136:H141" si="37">F136*G136</f>
        <v>4.6656000000000013</v>
      </c>
      <c r="I136" s="110" t="e">
        <f>$I$135*F136</f>
        <v>#VALUE!</v>
      </c>
    </row>
    <row r="137" spans="1:9" hidden="1" x14ac:dyDescent="0.3">
      <c r="A137" s="15">
        <v>121</v>
      </c>
      <c r="B137" s="16" t="s">
        <v>218</v>
      </c>
      <c r="C137" s="36" t="s">
        <v>225</v>
      </c>
      <c r="D137" s="16" t="s">
        <v>37</v>
      </c>
      <c r="E137" s="16" t="s">
        <v>2</v>
      </c>
      <c r="F137" s="27">
        <f>0.8*0.35</f>
        <v>0.27999999999999997</v>
      </c>
      <c r="G137" s="41">
        <v>9.4600000000000009</v>
      </c>
      <c r="H137" s="108">
        <f t="shared" si="37"/>
        <v>2.6488</v>
      </c>
      <c r="I137" s="110" t="e">
        <f>$I$135*F137</f>
        <v>#VALUE!</v>
      </c>
    </row>
    <row r="138" spans="1:9" hidden="1" x14ac:dyDescent="0.3">
      <c r="A138" s="15">
        <v>121</v>
      </c>
      <c r="B138" s="16" t="s">
        <v>219</v>
      </c>
      <c r="C138" s="10" t="s">
        <v>18</v>
      </c>
      <c r="D138" s="16" t="s">
        <v>220</v>
      </c>
      <c r="E138" s="16" t="s">
        <v>19</v>
      </c>
      <c r="F138" s="27">
        <v>0.04</v>
      </c>
      <c r="G138" s="17">
        <f>31.95/5</f>
        <v>6.39</v>
      </c>
      <c r="H138" s="108">
        <f t="shared" si="37"/>
        <v>0.25559999999999999</v>
      </c>
    </row>
    <row r="139" spans="1:9" hidden="1" x14ac:dyDescent="0.3">
      <c r="A139" s="75">
        <v>121</v>
      </c>
      <c r="B139" s="81" t="s">
        <v>221</v>
      </c>
      <c r="C139" s="82" t="s">
        <v>226</v>
      </c>
      <c r="D139" s="81" t="s">
        <v>220</v>
      </c>
      <c r="E139" s="81" t="s">
        <v>19</v>
      </c>
      <c r="F139" s="88">
        <v>0.16</v>
      </c>
      <c r="G139" s="77">
        <v>84</v>
      </c>
      <c r="H139" s="124">
        <f t="shared" si="37"/>
        <v>13.44</v>
      </c>
    </row>
    <row r="140" spans="1:9" hidden="1" x14ac:dyDescent="0.3">
      <c r="A140" s="75">
        <v>121</v>
      </c>
      <c r="B140" s="81" t="s">
        <v>222</v>
      </c>
      <c r="C140" s="82" t="s">
        <v>227</v>
      </c>
      <c r="D140" s="81" t="s">
        <v>220</v>
      </c>
      <c r="E140" s="81" t="s">
        <v>19</v>
      </c>
      <c r="F140" s="88">
        <v>0.13</v>
      </c>
      <c r="G140" s="77">
        <v>32</v>
      </c>
      <c r="H140" s="124">
        <f t="shared" si="37"/>
        <v>4.16</v>
      </c>
    </row>
    <row r="141" spans="1:9" hidden="1" x14ac:dyDescent="0.3">
      <c r="A141" s="15">
        <v>121</v>
      </c>
      <c r="B141" s="16" t="s">
        <v>223</v>
      </c>
      <c r="C141" s="36" t="s">
        <v>228</v>
      </c>
      <c r="D141" s="16" t="s">
        <v>220</v>
      </c>
      <c r="E141" s="16" t="s">
        <v>6</v>
      </c>
      <c r="F141" s="45">
        <v>0.4</v>
      </c>
      <c r="G141" s="17">
        <v>2</v>
      </c>
      <c r="H141" s="108">
        <f t="shared" si="37"/>
        <v>0.8</v>
      </c>
    </row>
    <row r="142" spans="1:9" ht="18.75" hidden="1" customHeight="1" x14ac:dyDescent="0.3">
      <c r="A142" s="51">
        <v>124</v>
      </c>
      <c r="B142" s="51" t="s">
        <v>231</v>
      </c>
      <c r="C142" s="52" t="s">
        <v>232</v>
      </c>
      <c r="D142" s="51" t="s">
        <v>0</v>
      </c>
      <c r="E142" s="51" t="s">
        <v>1</v>
      </c>
      <c r="F142" s="24">
        <v>1</v>
      </c>
      <c r="G142" s="24">
        <v>33.08</v>
      </c>
      <c r="H142" s="121">
        <f ca="1">SUMIF(A142:A161,A142,H143:H161)</f>
        <v>37.861256888888896</v>
      </c>
      <c r="I142" s="137" t="str">
        <f>VLOOKUP(A142,'PLANILHA CD'!$A$10:$I$143,4,0)</f>
        <v>EPÓXI BASE ÁGUA</v>
      </c>
    </row>
    <row r="143" spans="1:9" hidden="1" x14ac:dyDescent="0.3">
      <c r="A143" s="5">
        <v>124</v>
      </c>
      <c r="B143" s="18">
        <v>5318</v>
      </c>
      <c r="C143" s="10" t="s">
        <v>18</v>
      </c>
      <c r="D143" s="11" t="s">
        <v>5</v>
      </c>
      <c r="E143" s="11" t="s">
        <v>19</v>
      </c>
      <c r="F143" s="14">
        <v>0.05</v>
      </c>
      <c r="G143" s="17">
        <f>31.95/5</f>
        <v>6.39</v>
      </c>
      <c r="H143" s="108">
        <f t="shared" ref="H143:H146" si="38">F143*G143</f>
        <v>0.31950000000000001</v>
      </c>
    </row>
    <row r="144" spans="1:9" hidden="1" x14ac:dyDescent="0.3">
      <c r="A144" s="100">
        <v>124</v>
      </c>
      <c r="B144" s="81">
        <v>7304</v>
      </c>
      <c r="C144" s="82" t="s">
        <v>65</v>
      </c>
      <c r="D144" s="81" t="s">
        <v>5</v>
      </c>
      <c r="E144" s="81" t="s">
        <v>19</v>
      </c>
      <c r="F144" s="105">
        <v>0.5</v>
      </c>
      <c r="G144" s="77">
        <f>163/3.6</f>
        <v>45.277777777777779</v>
      </c>
      <c r="H144" s="124">
        <f t="shared" si="38"/>
        <v>22.638888888888889</v>
      </c>
    </row>
    <row r="145" spans="1:9" x14ac:dyDescent="0.3">
      <c r="A145" s="5">
        <v>124</v>
      </c>
      <c r="B145" s="16" t="s">
        <v>22</v>
      </c>
      <c r="C145" s="36" t="s">
        <v>23</v>
      </c>
      <c r="D145" s="16" t="s">
        <v>0</v>
      </c>
      <c r="E145" s="16" t="s">
        <v>2</v>
      </c>
      <c r="F145" s="45">
        <f>0.8*0.4</f>
        <v>0.32000000000000006</v>
      </c>
      <c r="G145" s="12">
        <v>14.58</v>
      </c>
      <c r="H145" s="108">
        <f t="shared" si="38"/>
        <v>4.6656000000000013</v>
      </c>
      <c r="I145" s="110" t="e">
        <f>$I$142*F145</f>
        <v>#VALUE!</v>
      </c>
    </row>
    <row r="146" spans="1:9" hidden="1" x14ac:dyDescent="0.3">
      <c r="A146" s="29">
        <v>124</v>
      </c>
      <c r="B146" s="16" t="s">
        <v>3</v>
      </c>
      <c r="C146" s="36" t="s">
        <v>4</v>
      </c>
      <c r="D146" s="16" t="s">
        <v>0</v>
      </c>
      <c r="E146" s="16" t="s">
        <v>2</v>
      </c>
      <c r="F146" s="45">
        <f>0.8*0.35</f>
        <v>0.27999999999999997</v>
      </c>
      <c r="G146" s="44">
        <v>9.4600000000000009</v>
      </c>
      <c r="H146" s="47">
        <f t="shared" si="38"/>
        <v>2.6488</v>
      </c>
      <c r="I146" s="110" t="e">
        <f>$I$142*F146</f>
        <v>#VALUE!</v>
      </c>
    </row>
    <row r="147" spans="1:9" ht="18" hidden="1" customHeight="1" x14ac:dyDescent="0.3">
      <c r="A147" s="51">
        <v>125</v>
      </c>
      <c r="B147" s="51" t="s">
        <v>66</v>
      </c>
      <c r="C147" s="52" t="s">
        <v>233</v>
      </c>
      <c r="D147" s="51" t="s">
        <v>0</v>
      </c>
      <c r="E147" s="51" t="s">
        <v>1</v>
      </c>
      <c r="F147" s="24">
        <v>1</v>
      </c>
      <c r="G147" s="24"/>
      <c r="H147" s="121">
        <f>SUM(H148:H150)</f>
        <v>7.5884679999999998</v>
      </c>
      <c r="I147" s="137" t="str">
        <f>VLOOKUP(A147,'PLANILHA CD'!$A$10:$I$143,4,0)</f>
        <v>ACRÍLICO PREMIUM PLUS</v>
      </c>
    </row>
    <row r="148" spans="1:9" hidden="1" x14ac:dyDescent="0.3">
      <c r="A148" s="40">
        <v>125</v>
      </c>
      <c r="B148" s="62">
        <v>7356</v>
      </c>
      <c r="C148" s="63" t="s">
        <v>68</v>
      </c>
      <c r="D148" s="64" t="s">
        <v>5</v>
      </c>
      <c r="E148" s="64" t="s">
        <v>19</v>
      </c>
      <c r="F148" s="72">
        <v>0.33</v>
      </c>
      <c r="G148" s="66">
        <v>12.33</v>
      </c>
      <c r="H148" s="42">
        <f t="shared" ref="H148:H150" si="39">F148*G148</f>
        <v>4.0689000000000002</v>
      </c>
    </row>
    <row r="149" spans="1:9" x14ac:dyDescent="0.3">
      <c r="A149" s="5">
        <v>125</v>
      </c>
      <c r="B149" s="18" t="s">
        <v>22</v>
      </c>
      <c r="C149" s="10" t="s">
        <v>23</v>
      </c>
      <c r="D149" s="11" t="s">
        <v>0</v>
      </c>
      <c r="E149" s="28" t="s">
        <v>2</v>
      </c>
      <c r="F149" s="45">
        <f>0.244*(0.8)</f>
        <v>0.19520000000000001</v>
      </c>
      <c r="G149" s="12">
        <v>14.58</v>
      </c>
      <c r="H149" s="108">
        <f t="shared" si="39"/>
        <v>2.8460160000000001</v>
      </c>
      <c r="I149" s="110" t="e">
        <f>$I$147*F149</f>
        <v>#VALUE!</v>
      </c>
    </row>
    <row r="150" spans="1:9" hidden="1" x14ac:dyDescent="0.3">
      <c r="A150" s="5">
        <v>125</v>
      </c>
      <c r="B150" s="18" t="s">
        <v>3</v>
      </c>
      <c r="C150" s="10" t="s">
        <v>4</v>
      </c>
      <c r="D150" s="11" t="s">
        <v>0</v>
      </c>
      <c r="E150" s="28" t="s">
        <v>2</v>
      </c>
      <c r="F150" s="45">
        <f>0.089*(0.8)</f>
        <v>7.1199999999999999E-2</v>
      </c>
      <c r="G150" s="12">
        <v>9.4600000000000009</v>
      </c>
      <c r="H150" s="108">
        <f t="shared" si="39"/>
        <v>0.67355200000000004</v>
      </c>
      <c r="I150" s="110" t="e">
        <f>$I$147*F150</f>
        <v>#VALUE!</v>
      </c>
    </row>
    <row r="151" spans="1:9" ht="27.6" hidden="1" x14ac:dyDescent="0.3">
      <c r="A151" s="51">
        <v>126</v>
      </c>
      <c r="B151" s="51" t="s">
        <v>71</v>
      </c>
      <c r="C151" s="52" t="s">
        <v>234</v>
      </c>
      <c r="D151" s="51" t="s">
        <v>0</v>
      </c>
      <c r="E151" s="51" t="s">
        <v>1</v>
      </c>
      <c r="F151" s="24">
        <v>1</v>
      </c>
      <c r="G151" s="24"/>
      <c r="H151" s="121">
        <f>SUM(H152:H154)</f>
        <v>7.129264</v>
      </c>
      <c r="I151" s="137" t="str">
        <f>VLOOKUP(A151,'PLANILHA CD'!$A$10:$I$143,4,0)</f>
        <v>ACRÍLICO PREMIUM PLUS</v>
      </c>
    </row>
    <row r="152" spans="1:9" hidden="1" x14ac:dyDescent="0.3">
      <c r="A152" s="5">
        <v>126</v>
      </c>
      <c r="B152" s="18">
        <v>7356</v>
      </c>
      <c r="C152" s="10" t="s">
        <v>68</v>
      </c>
      <c r="D152" s="11" t="s">
        <v>5</v>
      </c>
      <c r="E152" s="11" t="s">
        <v>19</v>
      </c>
      <c r="F152" s="14">
        <v>0.2</v>
      </c>
      <c r="G152" s="66">
        <v>12.33</v>
      </c>
      <c r="H152" s="108">
        <f t="shared" ref="H152:H154" si="40">F152*G152</f>
        <v>2.4660000000000002</v>
      </c>
    </row>
    <row r="153" spans="1:9" x14ac:dyDescent="0.3">
      <c r="A153" s="5">
        <v>126</v>
      </c>
      <c r="B153" s="18" t="s">
        <v>22</v>
      </c>
      <c r="C153" s="10" t="s">
        <v>23</v>
      </c>
      <c r="D153" s="11" t="s">
        <v>0</v>
      </c>
      <c r="E153" s="11" t="s">
        <v>2</v>
      </c>
      <c r="F153" s="45">
        <f>0.344*(0.8)</f>
        <v>0.2752</v>
      </c>
      <c r="G153" s="12">
        <v>14.58</v>
      </c>
      <c r="H153" s="108">
        <f t="shared" si="40"/>
        <v>4.012416</v>
      </c>
      <c r="I153" s="110" t="e">
        <f>$I$151*F153</f>
        <v>#VALUE!</v>
      </c>
    </row>
    <row r="154" spans="1:9" hidden="1" x14ac:dyDescent="0.3">
      <c r="A154" s="5">
        <v>126</v>
      </c>
      <c r="B154" s="18" t="s">
        <v>3</v>
      </c>
      <c r="C154" s="10" t="s">
        <v>4</v>
      </c>
      <c r="D154" s="11" t="s">
        <v>0</v>
      </c>
      <c r="E154" s="11" t="s">
        <v>2</v>
      </c>
      <c r="F154" s="45">
        <f>0.086*(0.8)</f>
        <v>6.88E-2</v>
      </c>
      <c r="G154" s="12">
        <v>9.4600000000000009</v>
      </c>
      <c r="H154" s="108">
        <f t="shared" si="40"/>
        <v>0.65084800000000009</v>
      </c>
      <c r="I154" s="110" t="e">
        <f>$I$151*F154</f>
        <v>#VALUE!</v>
      </c>
    </row>
    <row r="155" spans="1:9" ht="16.5" hidden="1" customHeight="1" x14ac:dyDescent="0.3">
      <c r="A155" s="51">
        <v>128</v>
      </c>
      <c r="B155" s="51" t="s">
        <v>63</v>
      </c>
      <c r="C155" s="52" t="s">
        <v>64</v>
      </c>
      <c r="D155" s="51" t="s">
        <v>0</v>
      </c>
      <c r="E155" s="51" t="s">
        <v>1</v>
      </c>
      <c r="F155" s="24">
        <v>1</v>
      </c>
      <c r="G155" s="24">
        <v>36.61</v>
      </c>
      <c r="H155" s="121">
        <f>SUM(H156:H158)</f>
        <v>72.89139999999999</v>
      </c>
      <c r="I155" s="137" t="str">
        <f>VLOOKUP(A155,'PLANILHA CD'!$A$10:$I$143,4,0)</f>
        <v>NOVACOR PISO ULTRA</v>
      </c>
    </row>
    <row r="156" spans="1:9" hidden="1" x14ac:dyDescent="0.3">
      <c r="A156" s="100">
        <f>A155</f>
        <v>128</v>
      </c>
      <c r="B156" s="101">
        <v>7304</v>
      </c>
      <c r="C156" s="102" t="s">
        <v>216</v>
      </c>
      <c r="D156" s="103" t="s">
        <v>5</v>
      </c>
      <c r="E156" s="103" t="s">
        <v>19</v>
      </c>
      <c r="F156" s="131">
        <v>0.52559999999999996</v>
      </c>
      <c r="G156" s="132">
        <v>119</v>
      </c>
      <c r="H156" s="124">
        <f t="shared" ref="H156:H158" si="41">F156*G156</f>
        <v>62.546399999999991</v>
      </c>
    </row>
    <row r="157" spans="1:9" x14ac:dyDescent="0.3">
      <c r="A157" s="5">
        <f>A156</f>
        <v>128</v>
      </c>
      <c r="B157" s="18" t="s">
        <v>10</v>
      </c>
      <c r="C157" s="10" t="s">
        <v>11</v>
      </c>
      <c r="D157" s="11" t="s">
        <v>0</v>
      </c>
      <c r="E157" s="11" t="s">
        <v>2</v>
      </c>
      <c r="F157" s="14">
        <f>0.9*0.5</f>
        <v>0.45</v>
      </c>
      <c r="G157" s="70">
        <v>14.58</v>
      </c>
      <c r="H157" s="108">
        <f t="shared" si="41"/>
        <v>6.5609999999999999</v>
      </c>
      <c r="I157" s="110" t="e">
        <f>$I$155*F157</f>
        <v>#VALUE!</v>
      </c>
    </row>
    <row r="158" spans="1:9" hidden="1" x14ac:dyDescent="0.3">
      <c r="A158" s="5">
        <f>A157</f>
        <v>128</v>
      </c>
      <c r="B158" s="18" t="s">
        <v>3</v>
      </c>
      <c r="C158" s="10" t="s">
        <v>4</v>
      </c>
      <c r="D158" s="11" t="s">
        <v>0</v>
      </c>
      <c r="E158" s="11" t="s">
        <v>2</v>
      </c>
      <c r="F158" s="14">
        <f>0.8*0.5</f>
        <v>0.4</v>
      </c>
      <c r="G158" s="17">
        <v>9.4600000000000009</v>
      </c>
      <c r="H158" s="108">
        <f t="shared" si="41"/>
        <v>3.7840000000000007</v>
      </c>
      <c r="I158" s="110" t="e">
        <f>$I$155*F158</f>
        <v>#VALUE!</v>
      </c>
    </row>
    <row r="159" spans="1:9" ht="16.5" hidden="1" customHeight="1" x14ac:dyDescent="0.3">
      <c r="A159" s="51">
        <v>130</v>
      </c>
      <c r="B159" s="51" t="s">
        <v>72</v>
      </c>
      <c r="C159" s="52" t="s">
        <v>73</v>
      </c>
      <c r="D159" s="51" t="s">
        <v>0</v>
      </c>
      <c r="E159" s="51" t="s">
        <v>1</v>
      </c>
      <c r="F159" s="24">
        <v>1</v>
      </c>
      <c r="G159" s="24"/>
      <c r="H159" s="121">
        <f>SUM(H160:H161)</f>
        <v>1.8052000000000004</v>
      </c>
      <c r="I159" s="137">
        <f>VLOOKUP(A159,'PLANILHA CD'!$A$10:$I$143,4,0)</f>
        <v>0</v>
      </c>
    </row>
    <row r="160" spans="1:9" x14ac:dyDescent="0.3">
      <c r="A160" s="73">
        <v>130</v>
      </c>
      <c r="B160" s="68" t="s">
        <v>10</v>
      </c>
      <c r="C160" s="74" t="s">
        <v>11</v>
      </c>
      <c r="D160" s="68" t="s">
        <v>0</v>
      </c>
      <c r="E160" s="68" t="s">
        <v>2</v>
      </c>
      <c r="F160" s="136">
        <f>0.02</f>
        <v>0.02</v>
      </c>
      <c r="G160" s="70">
        <v>14.58</v>
      </c>
      <c r="H160" s="42">
        <f t="shared" ref="H160:H161" si="42">F160*G160</f>
        <v>0.29160000000000003</v>
      </c>
      <c r="I160" s="110">
        <f>$I$159*F160</f>
        <v>0</v>
      </c>
    </row>
    <row r="161" spans="1:9" hidden="1" x14ac:dyDescent="0.3">
      <c r="A161" s="15">
        <v>130</v>
      </c>
      <c r="B161" s="16" t="s">
        <v>3</v>
      </c>
      <c r="C161" s="36" t="s">
        <v>4</v>
      </c>
      <c r="D161" s="16" t="s">
        <v>0</v>
      </c>
      <c r="E161" s="16" t="s">
        <v>2</v>
      </c>
      <c r="F161" s="45">
        <f>0.16</f>
        <v>0.16</v>
      </c>
      <c r="G161" s="17">
        <v>9.4600000000000009</v>
      </c>
      <c r="H161" s="108">
        <f t="shared" si="42"/>
        <v>1.5136000000000003</v>
      </c>
      <c r="I161" s="110">
        <f>$I$159*F161</f>
        <v>0</v>
      </c>
    </row>
    <row r="162" spans="1:9" ht="16.5" hidden="1" customHeight="1" x14ac:dyDescent="0.3">
      <c r="A162" s="51">
        <v>131</v>
      </c>
      <c r="B162" s="51"/>
      <c r="C162" s="52" t="s">
        <v>267</v>
      </c>
      <c r="D162" s="51" t="s">
        <v>0</v>
      </c>
      <c r="E162" s="51" t="s">
        <v>1</v>
      </c>
      <c r="F162" s="24">
        <v>1</v>
      </c>
      <c r="G162" s="24"/>
      <c r="H162" s="121">
        <f>SUM(H163:H164)</f>
        <v>1.8052000000000004</v>
      </c>
      <c r="I162" s="137" t="str">
        <f>VLOOKUP(A162,'PLANILHA CD'!$A$10:$I$143,4,0)</f>
        <v>LINHA PREMIERE</v>
      </c>
    </row>
    <row r="163" spans="1:9" x14ac:dyDescent="0.3">
      <c r="A163" s="73">
        <f>A162</f>
        <v>131</v>
      </c>
      <c r="B163" s="68" t="s">
        <v>10</v>
      </c>
      <c r="C163" s="74" t="s">
        <v>11</v>
      </c>
      <c r="D163" s="68" t="s">
        <v>0</v>
      </c>
      <c r="E163" s="68" t="s">
        <v>2</v>
      </c>
      <c r="F163" s="136">
        <f>0.02</f>
        <v>0.02</v>
      </c>
      <c r="G163" s="70">
        <v>14.58</v>
      </c>
      <c r="H163" s="42">
        <f t="shared" ref="H163" si="43">F163*G163</f>
        <v>0.29160000000000003</v>
      </c>
      <c r="I163" s="110" t="e">
        <f>$I$162*F163</f>
        <v>#VALUE!</v>
      </c>
    </row>
    <row r="164" spans="1:9" hidden="1" x14ac:dyDescent="0.3">
      <c r="A164" s="73">
        <f t="shared" ref="A164" si="44">A163</f>
        <v>131</v>
      </c>
      <c r="B164" s="16" t="s">
        <v>3</v>
      </c>
      <c r="C164" s="36" t="s">
        <v>4</v>
      </c>
      <c r="D164" s="16" t="s">
        <v>0</v>
      </c>
      <c r="E164" s="16" t="s">
        <v>2</v>
      </c>
      <c r="F164" s="45">
        <f>0.16</f>
        <v>0.16</v>
      </c>
      <c r="G164" s="17">
        <v>9.4600000000000009</v>
      </c>
      <c r="H164" s="108">
        <f>F164*G164</f>
        <v>1.5136000000000003</v>
      </c>
      <c r="I164" s="110" t="e">
        <f>$I$162*F164</f>
        <v>#VALUE!</v>
      </c>
    </row>
  </sheetData>
  <autoFilter ref="A1:H164">
    <filterColumn colId="2">
      <filters>
        <filter val="AZULEJISTA OU LADRILHISTA COM ENCARGOS COMPLEMENTARES"/>
        <filter val="CALAFETADOR/CALAFATE COM ENCARGOS COMPLEMENTARES"/>
        <filter val="ELETRICISTA COM ENCARGOS COMPLEMENTARES"/>
        <filter val="ENCANADOR OU BOMBEIRO HIDRÁULICO COM ENCARGOS COMPLEMENTARES"/>
        <filter val="MARMORISTA/GRANITEIRO COM ENCARGOS COMPLEMENTARES"/>
        <filter val="PEDREIRO"/>
        <filter val="PEDREIRO COM ENCARGOS COMPLEMENTARES"/>
        <filter val="PINTOR"/>
        <filter val="PINTOR COM ENCARGOS COMPLEMENTARES"/>
        <filter val="SERRALHEIRO COM ENCARGOS COMPLEMENTARES"/>
        <filter val="VIDRACEIRO COM ENCARGOS COMPLEMENTARES - INSTALAÇÃO VIDRO"/>
        <filter val="VIDRACEIRO COM ENCARGOS COMPLEMENTARES - RETIRAR VIDRO"/>
      </filters>
    </filterColumn>
    <filterColumn colId="4">
      <filters>
        <filter val="H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:H162 A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CD</vt:lpstr>
      <vt:lpstr>SALÁRIOS</vt:lpstr>
      <vt:lpstr>COMP (2)</vt:lpstr>
      <vt:lpstr>'PLANILHA CD'!Titulos_de_impressao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Dias</dc:creator>
  <cp:lastModifiedBy>cd</cp:lastModifiedBy>
  <cp:lastPrinted>2019-01-10T11:20:47Z</cp:lastPrinted>
  <dcterms:created xsi:type="dcterms:W3CDTF">2018-04-05T14:36:55Z</dcterms:created>
  <dcterms:modified xsi:type="dcterms:W3CDTF">2019-01-10T11:45:52Z</dcterms:modified>
</cp:coreProperties>
</file>